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2925" yWindow="65521" windowWidth="28200" windowHeight="12645" tabRatio="579" firstSheet="1" activeTab="1"/>
  </bookViews>
  <sheets>
    <sheet name="a_Contents" sheetId="1" r:id="rId1"/>
    <sheet name="b_Guidelines &amp; conditions" sheetId="2" r:id="rId2"/>
    <sheet name="A_InstallationData" sheetId="3" r:id="rId3"/>
    <sheet name="B_InitialSituation" sheetId="4" r:id="rId4"/>
    <sheet name="C_MergerSplitTransfer" sheetId="5" r:id="rId5"/>
    <sheet name="D_Summary" sheetId="6" r:id="rId6"/>
    <sheet name="I_MSspecific" sheetId="7" r:id="rId7"/>
    <sheet name="J_Comments" sheetId="8" r:id="rId8"/>
    <sheet name="EUwideConstants" sheetId="9" state="hidden" r:id="rId9"/>
    <sheet name="MSParameters" sheetId="10" state="hidden" r:id="rId10"/>
    <sheet name="Translations" sheetId="11" state="hidden" r:id="rId11"/>
    <sheet name="VersionDocumentation" sheetId="12" state="hidden" r:id="rId12"/>
  </sheets>
  <definedNames>
    <definedName name="_xlnm._FilterDatabase" localSheetId="10" hidden="1">'Translations'!$A$1:$C$1595</definedName>
    <definedName name="CNTR_AnnexIActivities">'A_InstallationData'!$Q$117:$Q$121</definedName>
    <definedName name="CNTR_ConnectionEntityList">'A_InstallationData'!$H$292:$H$301</definedName>
    <definedName name="CNTR_ConnectionEntityListCITL_IDs">'A_InstallationData'!$J$292:$J$301</definedName>
    <definedName name="CNTR_ConnectionEntityListTypes">'A_InstallationData'!$K$292:$K$301</definedName>
    <definedName name="CNTR_ConnectionListAndWithinInst">'A_InstallationData'!$H$291:$H$301</definedName>
    <definedName name="CNTR_ExistConnectionEntries">'A_InstallationData'!$G$304</definedName>
    <definedName name="CNTR_HasEntries_A_I">'A_InstallationData'!$G$282</definedName>
    <definedName name="CNTR_HasEntries_A_II">'A_InstallationData'!$G$283</definedName>
    <definedName name="CNTR_Merger">'A_InstallationData'!$Q$13</definedName>
    <definedName name="CNTR_MergerORSplitORTransfer">'A_InstallationData'!$R$15</definedName>
    <definedName name="CNTR_MissingData">'EUwideConstants'!$I$304:$I$309</definedName>
    <definedName name="CNTR_OnlyCombustion">'A_InstallationData'!$S$117</definedName>
    <definedName name="CNTR_TemplateVersion">'a_Contents'!$H$33</definedName>
    <definedName name="CNTR_UniqueID">'A_InstallationData'!$J$64</definedName>
    <definedName name="CNTR_YearMergerSplit">'A_InstallationData'!$R$18</definedName>
    <definedName name="EUconst_182CUF">'EUwideConstants'!$B$117</definedName>
    <definedName name="EUconst_30DayOrCalendarMonth">'EUwideConstants'!$B$68:$C$68</definedName>
    <definedName name="EUconst_AbsRel">'EUwideConstants'!$B$8:$C$8</definedName>
    <definedName name="EUconst_AdjF">'EUwideConstants'!$B$119</definedName>
    <definedName name="EUconst_AllocPrelim2013">'EUwideConstants'!$B$141</definedName>
    <definedName name="EUconst_Allowances">'EUwideConstants'!$B$92</definedName>
    <definedName name="EUconst_AllSubInstList">'EUwideConstants'!$E$317:$E$374</definedName>
    <definedName name="EUconst_AnnexIActivities">'EUwideConstants'!$B$216:$B$243</definedName>
    <definedName name="EUconst_ApplicationType">'EUwideConstants'!$B$61:$D$61</definedName>
    <definedName name="EUconst_BaselinePeriods">'EUwideConstants'!$B$5:$C$5</definedName>
    <definedName name="EUconst_BM">'EUwideConstants'!$B$17</definedName>
    <definedName name="EUconst_BMlist107">'EUwideConstants'!$E$275:$E$277</definedName>
    <definedName name="EUconst_BMlistBMvalues">'EUwideConstants'!$H$249:$H$300</definedName>
    <definedName name="EUconst_BMlistCLstatus">'EUwideConstants'!$G$249:$G$300</definedName>
    <definedName name="EUconst_BMlistElExchangability">'EUwideConstants'!$I$249:$I$300</definedName>
    <definedName name="EUconst_BMlistMatrix">'EUwideConstants'!$E$249:$I$300</definedName>
    <definedName name="EUconst_BMlistNames">'EUwideConstants'!$E$249:$E$300</definedName>
    <definedName name="EUconst_BMlistNumberOfActivity">'EUwideConstants'!$B$249:$B$300</definedName>
    <definedName name="EUconst_BMlistNumberOfBM">'EUwideConstants'!$C$249:$C$300</definedName>
    <definedName name="EUconst_BMlistSCUFvalues">'EUwideConstants'!$L$249:$L$300</definedName>
    <definedName name="EUconst_BMlistSpecialJumpTable">'EUwideConstants'!$K$249:$K$300</definedName>
    <definedName name="EUconst_BMlistSpecialReporting">'EUwideConstants'!$J$249:$J$300</definedName>
    <definedName name="EUconst_BMlistUnits">'EUwideConstants'!$F$249:$F$300</definedName>
    <definedName name="EUconst_BMSubinst">'EUwideConstants'!$B$25</definedName>
    <definedName name="EUconst_CapacityInitial">'EUwideConstants'!$B$132</definedName>
    <definedName name="Euconst_CapacitySource">'EUwideConstants'!$B$166:$G$166</definedName>
    <definedName name="EUconst_CEMSSource">'EUwideConstants'!$B$21</definedName>
    <definedName name="Euconst_CessationReason">'EUwideConstants'!$B$167:$F$167</definedName>
    <definedName name="EUconst_ChangeType">'EUwideConstants'!$B$64:$G$64</definedName>
    <definedName name="EUconst_ChangeType0">'EUwideConstants'!$B$63:$F$63</definedName>
    <definedName name="EUconst_ChangeType1">'EUwideConstants'!$B$65:$E$65</definedName>
    <definedName name="EUconst_CLnonCL">'EUwideConstants'!$B$83:$C$83</definedName>
    <definedName name="EUconst_CNTR_CAP">'EUwideConstants'!$B$105</definedName>
    <definedName name="EUconst_CNTR_CAP2Months">'EUwideConstants'!$B$106</definedName>
    <definedName name="EUconst_CNTR_CAPDelta">'EUwideConstants'!$B$109</definedName>
    <definedName name="EUconst_CNTR_CAPINI">'EUwideConstants'!$B$107</definedName>
    <definedName name="EUconst_CNTR_CAPNEW">'EUwideConstants'!$B$108</definedName>
    <definedName name="EUconst_CNTR_Check10Pct">'EUwideConstants'!$B$110</definedName>
    <definedName name="EUconst_CNTR_Check5Pct">'EUwideConstants'!$B$111</definedName>
    <definedName name="EUconst_CNTR_DesignCAP">'EUwideConstants'!$B$104</definedName>
    <definedName name="EUconst_CNTR_ELEXCH">'EUwideConstants'!$B$124</definedName>
    <definedName name="EUconst_CNTR_EmiBeforeStart">'EUwideConstants'!$B$102</definedName>
    <definedName name="EUconst_CNTR_Finitial">'EUwideConstants'!$B$103</definedName>
    <definedName name="EUconst_CNTR_HAL">'EUwideConstants'!$B$122</definedName>
    <definedName name="EUconst_CNTR_HALAdded">'EUwideConstants'!$B$112</definedName>
    <definedName name="EUconst_CNTR_HALspecial">'EUwideConstants'!$B$123</definedName>
    <definedName name="EUconst_CNTR_HEAT">'EUwideConstants'!$B$127</definedName>
    <definedName name="EUconst_CNTR_HVC">'EUwideConstants'!$B$129</definedName>
    <definedName name="EUconst_CNTR_nonETSMeasHeat">'EUwideConstants'!$B$157</definedName>
    <definedName name="EUconst_CNTR_PartCessALini">'EUwideConstants'!$B$113</definedName>
    <definedName name="EUconst_CNTR_PartCessAllocIni">'EUwideConstants'!$B$115</definedName>
    <definedName name="EUconst_CNTR_PartCessAllocLini">'EUwideConstants'!$B$115</definedName>
    <definedName name="EUconst_CNTR_PartCessALnew">'EUwideConstants'!$B$114</definedName>
    <definedName name="EUconst_CNTR_PeriodGreenfield">'EUwideConstants'!$B$116</definedName>
    <definedName name="EUconst_CNTR_PulpPaper">'EUwideConstants'!$B$125</definedName>
    <definedName name="EUconst_CNTR_SIG">'EUwideConstants'!$B$126</definedName>
    <definedName name="EUconst_CNTR_VCM">'EUwideConstants'!$B$128</definedName>
    <definedName name="EUconst_CombustionActivity">'EUwideConstants'!$B$216</definedName>
    <definedName name="EUconst_ConfirmAllowUseOfData">'EUwideConstants'!$B$95</definedName>
    <definedName name="EUconst_ConfirmApplicationForAlloc">'EUwideConstants'!$B$94:$B$94</definedName>
    <definedName name="EUconst_ConfirmationNotEligible">'EUwideConstants'!$B$93:$B$93</definedName>
    <definedName name="EUconst_ConfirmCessation">'EUwideConstants'!$B$96</definedName>
    <definedName name="EUconst_ConfirmMergerSplit">'EUwideConstants'!$B$210</definedName>
    <definedName name="EUconst_ConnectedEntityTypes">'EUwideConstants'!$B$69:$E$69</definedName>
    <definedName name="EUconst_ConnectionShortTypes">'EUwideConstants'!$B$71:$D$71</definedName>
    <definedName name="EUconst_ConnectionTransferTypes">'EUwideConstants'!$B$72:$C$72</definedName>
    <definedName name="EUconst_ConnectionTypes">'EUwideConstants'!$B$70:$D$70</definedName>
    <definedName name="EUconst_CWTpa">'EUwideConstants'!$B$91</definedName>
    <definedName name="EUconst_DateMissing">'EUwideConstants'!$B$148</definedName>
    <definedName name="EUconst_Days">'EUwideConstants'!$B$3:$AF$3</definedName>
    <definedName name="EUconst_ElBM">'EUwideConstants'!$B$78</definedName>
    <definedName name="EUconst_ERR_40pct">'EUwideConstants'!$B$171</definedName>
    <definedName name="EUconst_ERR_ActivityMissing">'EUwideConstants'!$B$199</definedName>
    <definedName name="EUconst_ERR_Capacity0.9">'EUwideConstants'!$B$170</definedName>
    <definedName name="EUconst_ERR_Capacity1.1">'EUwideConstants'!$B$169</definedName>
    <definedName name="EUconst_ERR_CessationIteme">'EUwideConstants'!$B$179</definedName>
    <definedName name="EUconst_ERR_DatesBeforeJuly2011">'EUwideConstants'!$B$197</definedName>
    <definedName name="EUconst_ERR_DatesSorting">'EUwideConstants'!$B$195</definedName>
    <definedName name="EUconst_ERR_DoubleBMentry">'EUwideConstants'!$B$180</definedName>
    <definedName name="EUconst_ERR_FirstSub">'EUwideConstants'!$B$172</definedName>
    <definedName name="EUconst_ERR_Goto_DI2">'EUwideConstants'!$B$185</definedName>
    <definedName name="EUconst_ERR_InitialDateMissing">'EUwideConstants'!$B$198</definedName>
    <definedName name="EUconst_ERR_Mandatory_abd">'EUwideConstants'!$B$175</definedName>
    <definedName name="EUconst_ERR_Mandatory_ApplicationType">'EUwideConstants'!$B$174</definedName>
    <definedName name="EUconst_ERR_Mandatory_Bbc">'EUwideConstants'!$B$183</definedName>
    <definedName name="EUconst_ERR_Mandatory_ef">'EUwideConstants'!$B$176</definedName>
    <definedName name="EUconst_ERR_Mandatory_g">'EUwideConstants'!$B$177</definedName>
    <definedName name="EUconst_ERR_MandatoryDII3a">'EUwideConstants'!$B$187</definedName>
    <definedName name="EUconst_ERR_MandatoryEII4">'EUwideConstants'!$B$186</definedName>
    <definedName name="EUconst_ERR_MissingFallBackEntry">'EUwideConstants'!$B$182</definedName>
    <definedName name="EUconst_ERR_MissingSubInstEntry">'EUwideConstants'!$B$181</definedName>
    <definedName name="EUconst_ERR_NewSub">'EUwideConstants'!$B$173</definedName>
    <definedName name="EUconst_ERR_NoSignificantChange">'EUwideConstants'!$B$178</definedName>
    <definedName name="EUconst_ERR_PartialCessation">'EUwideConstants'!$B$168</definedName>
    <definedName name="EUconst_ERR_RangeOfStartingDate">'EUwideConstants'!$B$196</definedName>
    <definedName name="EUconst_ERR_Rounding">'EUwideConstants'!$B$212</definedName>
    <definedName name="EUconst_ERR_StartWithFuels">'EUwideConstants'!$B$184</definedName>
    <definedName name="EUconst_Error">'EUwideConstants'!$B$140</definedName>
    <definedName name="EUconst_EUA">'EUwideConstants'!$B$13</definedName>
    <definedName name="EUconst_EUApa">'EUwideConstants'!$B$40</definedName>
    <definedName name="EUconst_EUApt">'EUwideConstants'!$B$41</definedName>
    <definedName name="EUconst_Experimental">'EUwideConstants'!$B$164</definedName>
    <definedName name="EUconst_FallBackListBMvalues">'EUwideConstants'!$H$304:$H$309</definedName>
    <definedName name="EUconst_FallBackListCLstatus">'EUwideConstants'!$G$304:$G$309</definedName>
    <definedName name="EUconst_FallBackListMatrix">'EUwideConstants'!$E$304:$I$309</definedName>
    <definedName name="EUconst_FallBackListNames">'EUwideConstants'!$E$304:$E$309</definedName>
    <definedName name="EUconst_FallBackListNumber">'EUwideConstants'!$C$304:$C$309</definedName>
    <definedName name="EUconst_FallBackListUnits">'EUwideConstants'!$F$304:$F$309</definedName>
    <definedName name="EUconst_FBSubinst">'EUwideConstants'!$B$26</definedName>
    <definedName name="EUconst_Fuel">'EUwideConstants'!$B$16</definedName>
    <definedName name="EUconst_FuelBMvalue">'EUwideConstants'!$B$79</definedName>
    <definedName name="EUconst_FuelUseTypes">'EUwideConstants'!$B$75:$E$75</definedName>
    <definedName name="EUconst_GJ">'EUwideConstants'!$B$31</definedName>
    <definedName name="EUconst_GJpa">'EUwideConstants'!$B$43</definedName>
    <definedName name="EUconst_GJperTorKNm3">'EUwideConstants'!$B$86:$C$86</definedName>
    <definedName name="EUconst_GJperUnit">'EUwideConstants'!$B$89</definedName>
    <definedName name="EUconst_GJpt">'EUwideConstants'!$B$42</definedName>
    <definedName name="EUconst_HAL96capacity">'EUwideConstants'!$B$130</definedName>
    <definedName name="EUconst_HAL96RCUF">'EUwideConstants'!$B$131</definedName>
    <definedName name="EUconst_HAL99changed">'EUwideConstants'!$B$136</definedName>
    <definedName name="EUconst_HAL99deltaC">'EUwideConstants'!$B$135</definedName>
    <definedName name="EUconst_HAL99initial">'EUwideConstants'!$B$133</definedName>
    <definedName name="EUconst_HAL99total">'EUwideConstants'!$B$137</definedName>
    <definedName name="EUconst_HAL99unchanged">'EUwideConstants'!$B$134</definedName>
    <definedName name="EUconst_HALsum">'EUwideConstants'!$B$138</definedName>
    <definedName name="EUconst_HCUF">'EUwideConstants'!$B$139</definedName>
    <definedName name="EUconst_HCUFmissing">'EUwideConstants'!$B$150</definedName>
    <definedName name="EUconst_HCUFrange">'EUwideConstants'!$B$152</definedName>
    <definedName name="EUconst_HeatBMvalue">'EUwideConstants'!$B$77</definedName>
    <definedName name="EUconst_HeatToolComplex">'EUwideConstants'!$B$161</definedName>
    <definedName name="EUconst_HeatToolSelection">'EUwideConstants'!$B$162:$C$162</definedName>
    <definedName name="EUconst_HeatToolSimple">'EUwideConstants'!$B$160</definedName>
    <definedName name="EUconst_HeatUseTypes">'EUwideConstants'!$B$74:$F$74</definedName>
    <definedName name="EUconst_HouseholdReportMethods">'EUwideConstants'!$B$143:$C$143</definedName>
    <definedName name="EUconst_Households">'EUwideConstants'!$B$156</definedName>
    <definedName name="EUconst_Incomplete">'EUwideConstants'!$B$144</definedName>
    <definedName name="EUconst_Inconsistent">'EUwideConstants'!$B$146</definedName>
    <definedName name="EUconst_kNm3pa">'EUwideConstants'!$B$84</definedName>
    <definedName name="EUconst_LatestChange">'EUwideConstants'!$B$163</definedName>
    <definedName name="EUconst_Manual">'EUwideConstants'!$B$149</definedName>
    <definedName name="EUconst_MBSource">'EUwideConstants'!$B$20</definedName>
    <definedName name="EUconst_MergerSplitOrTransfer">'EUwideConstants'!$B$211:$D$211</definedName>
    <definedName name="EUconst_min">'EUwideConstants'!$B$50</definedName>
    <definedName name="EUconst_minpcelld">'EUwideConstants'!$B$51</definedName>
    <definedName name="EUconst_MNm3pa">'EUwideConstants'!$B$90</definedName>
    <definedName name="EUconst_Month">'EUwideConstants'!$B$15</definedName>
    <definedName name="EUconst_Months">'EUwideConstants'!$B$4:$M$4</definedName>
    <definedName name="EUconst_MsgApplyArt96">'EUwideConstants'!$B$206</definedName>
    <definedName name="EUconst_MsgBackToSheetF">'EUwideConstants'!$B$203</definedName>
    <definedName name="EUconst_MsgEnterThisSection">'EUwideConstants'!$B$200</definedName>
    <definedName name="EUconst_MsgGoOn">'EUwideConstants'!$B$191</definedName>
    <definedName name="EUconst_MsgGoOn_cd">'EUwideConstants'!$B$204</definedName>
    <definedName name="EUconst_MsgGoOn_d">'EUwideConstants'!$B$193</definedName>
    <definedName name="EUconst_MsgGoOn_e">'EUwideConstants'!$B$205</definedName>
    <definedName name="EUconst_MsgGoOnIfNotRelevant">'EUwideConstants'!$B$194</definedName>
    <definedName name="EUconst_MsgGoToNextSheet">'EUwideConstants'!$B$201</definedName>
    <definedName name="EUconst_MsgGoToNextSubInst">'EUwideConstants'!$B$202</definedName>
    <definedName name="EUconst_MsgNewEntrant">'EUwideConstants'!$B$62</definedName>
    <definedName name="EUConst_MsgPartCessCritFulfilled">'EUwideConstants'!$B$121</definedName>
    <definedName name="EUconst_MsgProceedEII2">'EUwideConstants'!$B$190</definedName>
    <definedName name="EUconst_MsgProceedF">'EUwideConstants'!$B$189</definedName>
    <definedName name="EUconst_MsgSeeFirst">'EUwideConstants'!$B$188</definedName>
    <definedName name="EUconst_MsgUseElExchTool">'EUwideConstants'!$B$192</definedName>
    <definedName name="EUconst_MSlist">'EUwideConstants'!$B$158:$AF$158</definedName>
    <definedName name="EUconst_MSlistISOcodes">'EUwideConstants'!$B$159:$AF$159</definedName>
    <definedName name="EUconst_mV">'EUwideConstants'!$B$53</definedName>
    <definedName name="EUconst_MWh">'EUwideConstants'!$B$36</definedName>
    <definedName name="EUconst_MWhpa">'EUwideConstants'!$B$37</definedName>
    <definedName name="EUconst_N2OSource">'EUwideConstants'!$B$22</definedName>
    <definedName name="EUconst_NA">'EUwideConstants'!$B$12</definedName>
    <definedName name="EUconst_Negative">'EUwideConstants'!$B$145</definedName>
    <definedName name="EUconst_NormalOrChanged">'EUwideConstants'!$B$67:$C$67</definedName>
    <definedName name="EUconst_NotEligible">'EUwideConstants'!$B$155</definedName>
    <definedName name="EUconst_NotRelevant">'EUwideConstants'!$B$81</definedName>
    <definedName name="EUconst_OK">'EUwideConstants'!$B$147</definedName>
    <definedName name="EUconst_Or">'EUwideConstants'!$B$57</definedName>
    <definedName name="EUconst_PartCessAdjF">'EUwideConstants'!$F$312:$F$315</definedName>
    <definedName name="EUconst_PartCessALred">'EUwideConstants'!$E$312:$E$315</definedName>
    <definedName name="EUconst_PartCessMessage">'EUwideConstants'!$G$312:$G$315</definedName>
    <definedName name="EUConst_PartCessYear">'EUwideConstants'!$B$120</definedName>
    <definedName name="EUconst_PFCmethods">'EUwideConstants'!$B$142:$C$142</definedName>
    <definedName name="EUconst_PFCSource">'EUwideConstants'!$B$23</definedName>
    <definedName name="EUconst_PointA">'EUwideConstants'!$B$165</definedName>
    <definedName name="EUconst_PrivateHouseholds">'EUwideConstants'!$B$10</definedName>
    <definedName name="EUconst_ProcessEmissionTypes">'EUwideConstants'!$B$76:$J$76</definedName>
    <definedName name="EUconst_ProcessSource">'EUwideConstants'!$B$19</definedName>
    <definedName name="EUconst_PulpPlacedOnMarket">'EUwideConstants'!$B$207</definedName>
    <definedName name="EUconst_RatioRange">'EUwideConstants'!$B$154</definedName>
    <definedName name="EUconst_RCUFmissing">'EUwideConstants'!$B$151</definedName>
    <definedName name="EUconst_RCUFrange">'EUwideConstants'!$B$153</definedName>
    <definedName name="EUconst_Relevant">'EUwideConstants'!$B$80</definedName>
    <definedName name="EUconst_RelevantAmountPulp">'EUwideConstants'!$B$208</definedName>
    <definedName name="EUconst_RelevantNotRelevant">'EUwideConstants'!$B$82:$C$82</definedName>
    <definedName name="EUconst_relOrMWhpa">'EUwideConstants'!$B$59</definedName>
    <definedName name="EUconst_relOrtCO2pa">'EUwideConstants'!$B$60</definedName>
    <definedName name="EUconst_relOrTJpa">'EUwideConstants'!$B$58</definedName>
    <definedName name="EUconst_ReportingYears">'EUwideConstants'!$B$2:$K$2</definedName>
    <definedName name="EUconst_StartDate">'EUwideConstants'!$B$118</definedName>
    <definedName name="EUconst_SubInst17">'EUwideConstants'!$B$66:$C$66</definedName>
    <definedName name="EUconst_SubInstallation">'EUwideConstants'!$B$18</definedName>
    <definedName name="EUconst_SumBioCO2">'EUwideConstants'!$B$98</definedName>
    <definedName name="EUconst_SumCO2">'EUwideConstants'!$B$97</definedName>
    <definedName name="EUconst_SumEnergyIN">'EUwideConstants'!$B$99</definedName>
    <definedName name="EUconst_SumN2O">'EUwideConstants'!$B$100</definedName>
    <definedName name="EUconst_SumPFC">'EUwideConstants'!$B$101</definedName>
    <definedName name="EUconst_t">'EUwideConstants'!$B$38</definedName>
    <definedName name="EUconst_tCO2">'EUwideConstants'!$B$33</definedName>
    <definedName name="EUconst_tCO2e">'EUwideConstants'!$B$32</definedName>
    <definedName name="EUconst_tCO2epa">'EUwideConstants'!$B$49</definedName>
    <definedName name="EUconst_tCO2ept">'EUwideConstants'!$B$56</definedName>
    <definedName name="EUconst_tCO2eptN2O">'EUwideConstants'!$B$48</definedName>
    <definedName name="EUconst_tCO2pa">'EUwideConstants'!$B$45</definedName>
    <definedName name="EUconst_tCO2pkNm3">'EUwideConstants'!$B$88</definedName>
    <definedName name="EUconst_tCO2pt">'EUwideConstants'!$B$46</definedName>
    <definedName name="EUconst_tCO2pTJ">'EUwideConstants'!$B$44</definedName>
    <definedName name="EUconst_tCO2pTJorT">'EUwideConstants'!$B$87:$D$87</definedName>
    <definedName name="EUconst_TJ">'EUwideConstants'!$B$30</definedName>
    <definedName name="EUconst_TJpa">'EUwideConstants'!$B$35</definedName>
    <definedName name="EUconst_tN2O">'EUwideConstants'!$B$34</definedName>
    <definedName name="EUconst_tN2Opa">'EUwideConstants'!$B$47</definedName>
    <definedName name="EUconst_TonnesOrkNm3pa">'EUwideConstants'!$B$85:$C$85</definedName>
    <definedName name="EUconst_Tons">'EUwideConstants'!$B$29</definedName>
    <definedName name="EUconst_TotAdded">'EUwideConstants'!$B$9:$C$9</definedName>
    <definedName name="EUconst_TotFreeAlloc">'EUwideConstants'!$B$11</definedName>
    <definedName name="EUconst_tpa">'EUwideConstants'!$B$39</definedName>
    <definedName name="EUconst_TransfSource">'EUwideConstants'!$B$24</definedName>
    <definedName name="Euconst_TrueFalse">'EUwideConstants'!$B$6:$C$6</definedName>
    <definedName name="Euconst_TrueFalseNA">'EUwideConstants'!$B$7:$D$7</definedName>
    <definedName name="EUconst_Unit">'EUwideConstants'!$B$14</definedName>
    <definedName name="EUconst_unitOvervoltF">'EUwideConstants'!$B$54</definedName>
    <definedName name="EUconst_unitRelPFC">'EUwideConstants'!$B$55</definedName>
    <definedName name="EUconst_unitSlopeF">'EUwideConstants'!$B$52</definedName>
    <definedName name="EUconst_WithinInst">'EUwideConstants'!$B$73</definedName>
    <definedName name="EUconst_Year">'EUwideConstants'!$B$27</definedName>
    <definedName name="JUMP_A_Bottom">'A_InstallationData'!$D$274</definedName>
    <definedName name="JUMP_A_I">'A_InstallationData'!$D$42</definedName>
    <definedName name="JUMP_A_I1">'A_InstallationData'!$C$46</definedName>
    <definedName name="JUMP_A_I2">'A_InstallationData'!$B$97:$N$110</definedName>
    <definedName name="JUMP_A_I4">'A_InstallationData'!$B$112</definedName>
    <definedName name="JUMP_A_IV1">'A_InstallationData'!$C$149</definedName>
    <definedName name="JUMP_A_Top">'A_InstallationData'!$C$6</definedName>
    <definedName name="JUMP_A_VI">'A_InstallationData'!$C$147</definedName>
    <definedName name="JUMP_Coverpage_Bottom">'a_Contents'!$D$47</definedName>
    <definedName name="JUMP_Coverpage_Top">'a_Contents'!$C$6</definedName>
    <definedName name="JUMP_Guidelines_Bottom">'b_Guidelines &amp; conditions'!$C$104</definedName>
    <definedName name="JUMP_Guidelines_Home">'b_Guidelines &amp; conditions'!$C$8</definedName>
    <definedName name="JUMP_I_Bottom">'I_MSspecific'!$C$30</definedName>
    <definedName name="JUMP_I_MSspecific">'I_MSspecific'!$C$7</definedName>
    <definedName name="JUMP_I_Top">'I_MSspecific'!$B$5</definedName>
    <definedName name="JUMP_J_I">'J_Comments'!$C$7</definedName>
    <definedName name="JUMP_J_II">'J_Comments'!$C$28</definedName>
    <definedName name="JUMP_J_Top">'J_Comments'!$B$5</definedName>
    <definedName name="JUMP_TOC_Home">'a_Contents'!$B$6</definedName>
    <definedName name="MSconst_FuelCategoryList">'MSParameters'!$A$20:$A$73</definedName>
    <definedName name="MSconst_RequireConnectedInstContact">'MSParameters'!$B$3</definedName>
    <definedName name="MSconst_RequireDetailedProductionData">'MSParameters'!$B$4</definedName>
    <definedName name="MSconst_RequireDetailesFallBack">'MSParameters'!$B$5</definedName>
    <definedName name="MSconst_RequirePermitInfo">'MSParameters'!$B$2</definedName>
    <definedName name="_xlnm.Print_Area" localSheetId="0">'a_Contents'!$B$6:$L$47</definedName>
    <definedName name="_xlnm.Print_Area" localSheetId="2">'A_InstallationData'!$C$5:$N$198</definedName>
    <definedName name="_xlnm.Print_Area" localSheetId="1">'b_Guidelines &amp; conditions'!$B$5:$L$103</definedName>
    <definedName name="_xlnm.Print_Area" localSheetId="6">'I_MSspecific'!$A$4:$M$29</definedName>
    <definedName name="_xlnm.Print_Area" localSheetId="7">'J_Comments'!$A$4:$M$40</definedName>
    <definedName name="_xlnm.Print_Area" localSheetId="11">'VersionDocumentation'!$A$1:$E$89</definedName>
  </definedNames>
  <calcPr fullCalcOnLoad="1"/>
</workbook>
</file>

<file path=xl/comments12.xml><?xml version="1.0" encoding="utf-8"?>
<comments xmlns="http://schemas.openxmlformats.org/spreadsheetml/2006/main">
  <authors>
    <author>Fallmann Hubert</author>
  </authors>
  <commentList>
    <comment ref="C12" authorId="0">
      <text>
        <r>
          <rPr>
            <b/>
            <sz val="9"/>
            <rFont val="Tahoma"/>
            <family val="2"/>
          </rPr>
          <t>Originally, this was "NER application", but changed with distribution of the NE&amp;C UBA tool.</t>
        </r>
      </text>
    </comment>
    <comment ref="C11" authorId="0">
      <text>
        <r>
          <rPr>
            <b/>
            <sz val="9"/>
            <rFont val="Tahoma"/>
            <family val="2"/>
          </rPr>
          <t>Originally, this was "NER application", but changed with distribution of the NE&amp;C UBA tool.</t>
        </r>
      </text>
    </comment>
  </commentList>
</comments>
</file>

<file path=xl/comments3.xml><?xml version="1.0" encoding="utf-8"?>
<comments xmlns="http://schemas.openxmlformats.org/spreadsheetml/2006/main">
  <authors>
    <author>Fallmann Hubert</author>
  </authors>
  <commentList>
    <comment ref="H291" authorId="0">
      <text>
        <r>
          <rPr>
            <b/>
            <sz val="9"/>
            <rFont val="Tahoma"/>
            <family val="2"/>
          </rPr>
          <t>Needed for heat sub-installation, and for nitric acid</t>
        </r>
      </text>
    </comment>
  </commentList>
</comments>
</file>

<file path=xl/comments9.xml><?xml version="1.0" encoding="utf-8"?>
<comments xmlns="http://schemas.openxmlformats.org/spreadsheetml/2006/main">
  <authors>
    <author>Hubert Fallmann</author>
  </authors>
  <commentList>
    <comment ref="B133" authorId="0">
      <text>
        <r>
          <rPr>
            <b/>
            <sz val="9"/>
            <rFont val="Tahoma"/>
            <family val="2"/>
          </rPr>
          <t>Identical to HAL96_total</t>
        </r>
      </text>
    </comment>
    <comment ref="G267" authorId="0">
      <text>
        <r>
          <rPr>
            <b/>
            <sz val="9"/>
            <rFont val="Tahoma"/>
            <family val="2"/>
          </rPr>
          <t>In line with CCC vote of 19.5.2011</t>
        </r>
      </text>
    </comment>
    <comment ref="G268" authorId="0">
      <text>
        <r>
          <rPr>
            <b/>
            <sz val="9"/>
            <rFont val="Tahoma"/>
            <family val="2"/>
          </rPr>
          <t>In line with CCC vote of 19.5.2011</t>
        </r>
      </text>
    </comment>
    <comment ref="G269" authorId="0">
      <text>
        <r>
          <rPr>
            <b/>
            <sz val="9"/>
            <rFont val="Tahoma"/>
            <family val="2"/>
          </rPr>
          <t>In line with CCC vote of 19.5.2011</t>
        </r>
      </text>
    </comment>
    <comment ref="G271" authorId="0">
      <text>
        <r>
          <rPr>
            <b/>
            <sz val="9"/>
            <rFont val="Tahoma"/>
            <family val="2"/>
          </rPr>
          <t>In line with CCC vote of April 2012</t>
        </r>
      </text>
    </comment>
    <comment ref="L304" authorId="0">
      <text>
        <r>
          <rPr>
            <sz val="9"/>
            <rFont val="Tahoma"/>
            <family val="2"/>
          </rPr>
          <t>Only for completeness during macro processing… 
Not needed for Calculations</t>
        </r>
      </text>
    </comment>
  </commentList>
</comments>
</file>

<file path=xl/sharedStrings.xml><?xml version="1.0" encoding="utf-8"?>
<sst xmlns="http://schemas.openxmlformats.org/spreadsheetml/2006/main" count="2653" uniqueCount="2091">
  <si>
    <t>CHANGED!</t>
  </si>
  <si>
    <t>EUconst_CNTR_EmiBeforeStart</t>
  </si>
  <si>
    <t>EmiBeforeStart_</t>
  </si>
  <si>
    <t>EUconst_month</t>
  </si>
  <si>
    <t>EUconst_CNTR_PulpPaper</t>
  </si>
  <si>
    <t>PulpPaper107_</t>
  </si>
  <si>
    <t>EUconst_ChangeType</t>
  </si>
  <si>
    <t>EUconst_CNTR_DesignCAP</t>
  </si>
  <si>
    <t>DesignCAP_</t>
  </si>
  <si>
    <t>Partial cessation adjustment factor</t>
  </si>
  <si>
    <t>AdjF</t>
  </si>
  <si>
    <t>AL reduction</t>
  </si>
  <si>
    <t>EUconst_AdjF</t>
  </si>
  <si>
    <t>AdjF_</t>
  </si>
  <si>
    <t>missing data</t>
  </si>
  <si>
    <t>E.II !</t>
  </si>
  <si>
    <t>E.I !</t>
  </si>
  <si>
    <t>D.II !</t>
  </si>
  <si>
    <t>EUConst_PartCessYear</t>
  </si>
  <si>
    <t>PartCessYear_</t>
  </si>
  <si>
    <t>EUconst_CNTR_PartCessALini</t>
  </si>
  <si>
    <t>PartCessALini_</t>
  </si>
  <si>
    <t>EUconst_CNTR_PartCessALnew</t>
  </si>
  <si>
    <t>PartCessALnew_</t>
  </si>
  <si>
    <t>EUconst_SubInst17</t>
  </si>
  <si>
    <t>EUconst_ChangeType1</t>
  </si>
  <si>
    <t>All subinstallations</t>
  </si>
  <si>
    <t>EUconst_CNTR_PartCessAllocLini</t>
  </si>
  <si>
    <t>PartCessAllocIni_</t>
  </si>
  <si>
    <t>PP-F</t>
  </si>
  <si>
    <t>message</t>
  </si>
  <si>
    <t>100% &gt; x &gt; 50%</t>
  </si>
  <si>
    <t>50% &gt;= x &gt; 25%</t>
  </si>
  <si>
    <t>25% &gt;= x &gt; 10%</t>
  </si>
  <si>
    <t>x &gt;= 90%</t>
  </si>
  <si>
    <t>Euconst_CapacitySource</t>
  </si>
  <si>
    <t>Allocation</t>
  </si>
  <si>
    <t>EUconst_CNTR_CAP2Months</t>
  </si>
  <si>
    <t>CAP2Months_</t>
  </si>
  <si>
    <t>EUconst_NormalOrChanged</t>
  </si>
  <si>
    <t>EUconst_TrueFalse</t>
  </si>
  <si>
    <t>EUconst_TrueFalseNA</t>
  </si>
  <si>
    <t>I</t>
  </si>
  <si>
    <t>EUconst_Negative</t>
  </si>
  <si>
    <t>SUM_CO2</t>
  </si>
  <si>
    <t>SUM_bioCO2</t>
  </si>
  <si>
    <t>SUM_EnergyIN</t>
  </si>
  <si>
    <t>EUconst_SumCO2</t>
  </si>
  <si>
    <t>EUconst_SumBioCO2</t>
  </si>
  <si>
    <t>EUconst_SumEnergyIN</t>
  </si>
  <si>
    <t>EUconst_SumN2O</t>
  </si>
  <si>
    <t>EUconst_SumPFC</t>
  </si>
  <si>
    <t>SUM_N2O</t>
  </si>
  <si>
    <t>SUM_PFC</t>
  </si>
  <si>
    <t>xxx</t>
  </si>
  <si>
    <t>NE&amp;C data file</t>
  </si>
  <si>
    <t>end</t>
  </si>
  <si>
    <t>EUconst_Year</t>
  </si>
  <si>
    <t>EUconst_Tons</t>
  </si>
  <si>
    <t>EUconst_MNm3pa</t>
  </si>
  <si>
    <t>Norway</t>
  </si>
  <si>
    <t>Liechtenstein</t>
  </si>
  <si>
    <t>IS</t>
  </si>
  <si>
    <t>LI</t>
  </si>
  <si>
    <t>NO</t>
  </si>
  <si>
    <t>UBA</t>
  </si>
  <si>
    <t>Name</t>
  </si>
  <si>
    <t>TEXT (Language Version)</t>
  </si>
  <si>
    <t>English Version (Original)</t>
  </si>
  <si>
    <t>Constant</t>
  </si>
  <si>
    <t>Further constants</t>
  </si>
  <si>
    <t>EUconst_ReportingYears</t>
  </si>
  <si>
    <t>End</t>
  </si>
  <si>
    <t>II</t>
  </si>
  <si>
    <t>tC2F6 / tCF4</t>
  </si>
  <si>
    <t>tCO2e/tN2O</t>
  </si>
  <si>
    <t>EUconst_FuelBMvalue</t>
  </si>
  <si>
    <t>http://ec.europa.eu/clima/policies/ets/index_en.htm</t>
  </si>
  <si>
    <t>http://ec.europa.eu/eurostat/ramon/nomenclatures/index.cfm?TargetUrl=LST_CLS_DLD&amp;StrNom=PRD_2010&amp;StrLanguageCode=EN&amp;StrLayoutCode=HIERARCHIC</t>
  </si>
  <si>
    <t>EUconst_ProcessEmissionTypes</t>
  </si>
  <si>
    <t>N2O</t>
  </si>
  <si>
    <t>PFCs</t>
  </si>
  <si>
    <t>Draft III NIMs baseline data</t>
  </si>
  <si>
    <t>NIMs 3rd draft</t>
  </si>
  <si>
    <t>CNTR_HasEntries_A_I:</t>
  </si>
  <si>
    <t>Used for formatting and Error messages.</t>
  </si>
  <si>
    <t>EUconst_MsgApplyArt96</t>
  </si>
  <si>
    <t>a</t>
  </si>
  <si>
    <t>EUconst_ERR_Capacity0.9</t>
  </si>
  <si>
    <t>EUconst_CNTR_Finitial</t>
  </si>
  <si>
    <t>FInitial_</t>
  </si>
  <si>
    <t>SCUF</t>
  </si>
  <si>
    <t>EUconst_TotAdded</t>
  </si>
  <si>
    <t>EUconst_EUA</t>
  </si>
  <si>
    <t>EUA</t>
  </si>
  <si>
    <t>EUconst_EUApa</t>
  </si>
  <si>
    <t>EUconst_EUApt</t>
  </si>
  <si>
    <t>Default values</t>
  </si>
  <si>
    <t>EUconst_HALsum</t>
  </si>
  <si>
    <t>HALsum_</t>
  </si>
  <si>
    <t>EUconst_AllocPrelim2013</t>
  </si>
  <si>
    <t>AllocPrelim2013_</t>
  </si>
  <si>
    <t>Version comments</t>
  </si>
  <si>
    <t>EUconst_ERR_DatesBeforeJuly2011</t>
  </si>
  <si>
    <t>EUconst_MsgGoToNextSheet</t>
  </si>
  <si>
    <t>EUConst_MsgPartCessCritFulfilled</t>
  </si>
  <si>
    <t>EUconst_ERR_Mandatory_ef</t>
  </si>
  <si>
    <t>EUconst_TotFreeAlloc</t>
  </si>
  <si>
    <t>EUconst_DateMissing</t>
  </si>
  <si>
    <t>EUconst_CNTR_HEAT</t>
  </si>
  <si>
    <t>HEAT_</t>
  </si>
  <si>
    <t>EUconst_CNTR_VCM</t>
  </si>
  <si>
    <t>VCM_</t>
  </si>
  <si>
    <t>EUconst_CNTR_HVC</t>
  </si>
  <si>
    <t>HVC_</t>
  </si>
  <si>
    <t>EUconst_Unit</t>
  </si>
  <si>
    <t>EUconst_GJ</t>
  </si>
  <si>
    <t>GJ</t>
  </si>
  <si>
    <t>EUconst_MWh</t>
  </si>
  <si>
    <t>MWh</t>
  </si>
  <si>
    <t>EUconst_t</t>
  </si>
  <si>
    <t>t</t>
  </si>
  <si>
    <t>EUconst_tCO2</t>
  </si>
  <si>
    <t>t CO2</t>
  </si>
  <si>
    <t>EUconst_tN2O</t>
  </si>
  <si>
    <t>t N2O</t>
  </si>
  <si>
    <t>EUconst_Or</t>
  </si>
  <si>
    <t>(d)</t>
  </si>
  <si>
    <t>III</t>
  </si>
  <si>
    <t>Unit</t>
  </si>
  <si>
    <t>EUconst_ERR_Mandatory_g</t>
  </si>
  <si>
    <t>EUconst_ERR_Mandatory_abd</t>
  </si>
  <si>
    <t>EUconst_Experimental</t>
  </si>
  <si>
    <t>EUconst_PointA</t>
  </si>
  <si>
    <t>EUconst_ERR_DoubleBMentry</t>
  </si>
  <si>
    <t>EUconst_ERR_MissingSubInstEntry</t>
  </si>
  <si>
    <t>EUconst_ERR_MissingFallBackEntry</t>
  </si>
  <si>
    <t>ETS coverage (f. formatting)</t>
  </si>
  <si>
    <t>0 &lt;= RCUF &lt;=1 !</t>
  </si>
  <si>
    <t>EUconst_MSlist</t>
  </si>
  <si>
    <t>EUconst_MSlistISOcodes</t>
  </si>
  <si>
    <t>MSconst_RequirePermitInfo</t>
  </si>
  <si>
    <t>v.</t>
  </si>
  <si>
    <t>vi.</t>
  </si>
  <si>
    <t>vii.</t>
  </si>
  <si>
    <t>viii.</t>
  </si>
  <si>
    <t>ix.</t>
  </si>
  <si>
    <t>For formatting of capacity list:</t>
  </si>
  <si>
    <t>CNTR_ExistSubInstEntries</t>
  </si>
  <si>
    <t>For formatting of connection list:</t>
  </si>
  <si>
    <t>CNTR_ExistConnectionEntries</t>
  </si>
  <si>
    <t>MSconst_RequireConnectedInstContact</t>
  </si>
  <si>
    <t>EUconst_MWhpa</t>
  </si>
  <si>
    <t>EUconst_tpa</t>
  </si>
  <si>
    <t>EUconst_GJpt</t>
  </si>
  <si>
    <t>EUconst_tCO2pTJ</t>
  </si>
  <si>
    <t>EUconst_tCO2pa</t>
  </si>
  <si>
    <t>EUconst_tCO2pt</t>
  </si>
  <si>
    <t>EUconst_TJpa</t>
  </si>
  <si>
    <t>EUconst_tN2Opa</t>
  </si>
  <si>
    <t>EUconst_tCO2eptN2O</t>
  </si>
  <si>
    <t>EUconst_tCO2epa</t>
  </si>
  <si>
    <t>EUconst_min</t>
  </si>
  <si>
    <t>EUconst_minpcelld</t>
  </si>
  <si>
    <t>EUconst_unitSlopeF</t>
  </si>
  <si>
    <t>EUconst_mV</t>
  </si>
  <si>
    <t>EUconst_unitOvervoltF</t>
  </si>
  <si>
    <t>EUconst_unitRelPFC</t>
  </si>
  <si>
    <t>EUconst_tCO2ept</t>
  </si>
  <si>
    <t>EUconst_relOrTJpa</t>
  </si>
  <si>
    <t>controls</t>
  </si>
  <si>
    <t>Version:</t>
  </si>
  <si>
    <t>Info for automatic Version detection</t>
  </si>
  <si>
    <t>Template type:</t>
  </si>
  <si>
    <t>Type list:</t>
  </si>
  <si>
    <t>Language:</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</si>
  <si>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</si>
  <si>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</si>
  <si>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</si>
  <si>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</si>
  <si>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</si>
  <si>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</si>
  <si>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</si>
  <si>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</si>
  <si>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</si>
  <si>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</si>
  <si>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</si>
  <si>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</si>
  <si>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</si>
  <si>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</si>
  <si>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</si>
  <si>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</si>
  <si>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</si>
  <si>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</si>
  <si>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</si>
  <si>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</si>
  <si>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</si>
  <si>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</si>
  <si>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</si>
  <si>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EUconst_CNTR_nonETSMeasHeat</t>
  </si>
  <si>
    <t>HAL96_capacity_</t>
  </si>
  <si>
    <t>HAL96_RCUF_</t>
  </si>
  <si>
    <t>EUconst_HAL96capacity</t>
  </si>
  <si>
    <t>EUconst_HAL96RCUF</t>
  </si>
  <si>
    <t>EUconst_Error</t>
  </si>
  <si>
    <t>ERR_</t>
  </si>
  <si>
    <t>iv.</t>
  </si>
  <si>
    <t>EUconst_FuelUseTypes</t>
  </si>
  <si>
    <t>EUconst_ConnectionTransferTypes</t>
  </si>
  <si>
    <t>EUconst_ConnectionShortTypes</t>
  </si>
  <si>
    <t>CO2</t>
  </si>
  <si>
    <t>EUconst_CNTR_CAPINI</t>
  </si>
  <si>
    <t>EUconst_CNTR_CAPNEW</t>
  </si>
  <si>
    <t>CAPINI_</t>
  </si>
  <si>
    <t>CAPNEW_</t>
  </si>
  <si>
    <t>IV</t>
  </si>
  <si>
    <t>Fuel type description</t>
  </si>
  <si>
    <t xml:space="preserve">Emission factor </t>
  </si>
  <si>
    <r>
      <t>(tCO</t>
    </r>
    <r>
      <rPr>
        <b/>
        <vertAlign val="subscript"/>
        <sz val="9"/>
        <rFont val="Times New Roman"/>
        <family val="1"/>
      </rPr>
      <t>2</t>
    </r>
    <r>
      <rPr>
        <b/>
        <sz val="9"/>
        <rFont val="Times New Roman"/>
        <family val="1"/>
      </rPr>
      <t>/TJ)</t>
    </r>
  </si>
  <si>
    <t>Net Calorific Value</t>
  </si>
  <si>
    <t>(TJ/Gg)</t>
  </si>
  <si>
    <t>EUconst_CNTR_HAL</t>
  </si>
  <si>
    <t>HAL_</t>
  </si>
  <si>
    <t>EUconst_CNTR_ELEXCH</t>
  </si>
  <si>
    <t>ELEXCH_</t>
  </si>
  <si>
    <t>EUconst_RatioRange</t>
  </si>
  <si>
    <t>EUconst_Manual</t>
  </si>
  <si>
    <t>EUconst_ERR_PartialCessation</t>
  </si>
  <si>
    <t>EUconst_ERR_FirstSub</t>
  </si>
  <si>
    <t>EUconst_ERR_NewSub</t>
  </si>
  <si>
    <t>Euconst_CessationReason</t>
  </si>
  <si>
    <t>EUconst_ConfirmCessation</t>
  </si>
  <si>
    <t>EUconst_ERR_CessationIteme</t>
  </si>
  <si>
    <t>EUconst_ERR_MandatoryDII3a</t>
  </si>
  <si>
    <t>EUconst_ERR_MandatoryEII4</t>
  </si>
  <si>
    <t>Jump indicator</t>
  </si>
  <si>
    <t>EUconst_MsgUseElExchTool</t>
  </si>
  <si>
    <t>EUconst_AbsRel</t>
  </si>
  <si>
    <t>EUconst_PFCmethods</t>
  </si>
  <si>
    <t>EUconst_tCO2pTJorT</t>
  </si>
  <si>
    <t>EUconst_ConfirmationNotEligible</t>
  </si>
  <si>
    <t>EUconst_ConfirmApplicationForAlloc</t>
  </si>
  <si>
    <t>EUconst_SubInstallation</t>
  </si>
  <si>
    <t>EUconst_ConnectedEntityTypes</t>
  </si>
  <si>
    <t>EUconst_ConnectionTypes</t>
  </si>
  <si>
    <t>EUconst_MsgNewEntrant</t>
  </si>
  <si>
    <t>(b)</t>
  </si>
  <si>
    <t>Column Index:</t>
  </si>
  <si>
    <t>3. If the list is too short, the list can be extended by inserting additional rows (not individual cells) BEFORE the "&lt;end of list&gt;" marker</t>
  </si>
  <si>
    <r>
      <t xml:space="preserve">4. As a final step it should be checked if the grey area is identical to the defined Name: </t>
    </r>
    <r>
      <rPr>
        <b/>
        <sz val="10"/>
        <color indexed="10"/>
        <rFont val="Arial"/>
        <family val="2"/>
      </rPr>
      <t>MSconst_FuelCategoryList</t>
    </r>
  </si>
  <si>
    <t>HAL99init_</t>
  </si>
  <si>
    <t>EUconst_HAL99initial</t>
  </si>
  <si>
    <t>EUconst_HAL99changed</t>
  </si>
  <si>
    <t>HAL99change_</t>
  </si>
  <si>
    <t>EUconst_HAL99total</t>
  </si>
  <si>
    <t>HAL99total_</t>
  </si>
  <si>
    <t>E.II.1.n !</t>
  </si>
  <si>
    <t xml:space="preserve">Alkylation </t>
  </si>
  <si>
    <t>HAL99deltaC_</t>
  </si>
  <si>
    <t>EUconst_CNTR_HALspecial</t>
  </si>
  <si>
    <t>EUconst_BM</t>
  </si>
  <si>
    <t>EUconst_HCUFmissing</t>
  </si>
  <si>
    <t>No. of Activity</t>
  </si>
  <si>
    <t>EUconst_BaselinePeriods</t>
  </si>
  <si>
    <t>2005-2008</t>
  </si>
  <si>
    <t>2009-2010</t>
  </si>
  <si>
    <t>EUconst_HeatBMvalue</t>
  </si>
  <si>
    <t>EUconst_ElBM</t>
  </si>
  <si>
    <t>Message regarding special reporting</t>
  </si>
  <si>
    <t>EUconst_RelevantAmountPulp</t>
  </si>
  <si>
    <t>b</t>
  </si>
  <si>
    <t>EUconst_LatestChange</t>
  </si>
  <si>
    <t>StartDate_</t>
  </si>
  <si>
    <t>EUconst_StartDate</t>
  </si>
  <si>
    <t>EUconst_CNTR_CAPDelta</t>
  </si>
  <si>
    <t>EUconst_CNTR_HALAdded</t>
  </si>
  <si>
    <t>CAPDelta_</t>
  </si>
  <si>
    <t>HALAddded_</t>
  </si>
  <si>
    <t>CAP_</t>
  </si>
  <si>
    <t>EUconst_CNTR_CAP</t>
  </si>
  <si>
    <t>EUconst_ERR_40pct</t>
  </si>
  <si>
    <t>EUconst_182CUF</t>
  </si>
  <si>
    <t>CUF_</t>
  </si>
  <si>
    <t>NEW</t>
  </si>
  <si>
    <t>EUconst_ERR_Capacity1.1</t>
  </si>
  <si>
    <t>EUconst_ChangeType0</t>
  </si>
  <si>
    <t>EUconst_ConfirmAllowUseOfData</t>
  </si>
  <si>
    <t>min</t>
  </si>
  <si>
    <t>min / cell day</t>
  </si>
  <si>
    <t>-</t>
  </si>
  <si>
    <t>(kgCF4/tAl) / (min/cell-day)</t>
  </si>
  <si>
    <t>mV</t>
  </si>
  <si>
    <t>kg CF4 / (t Al mV)</t>
  </si>
  <si>
    <t>TDP/ TDA</t>
  </si>
  <si>
    <t>tonnes</t>
  </si>
  <si>
    <t>SE</t>
  </si>
  <si>
    <t>UK</t>
  </si>
  <si>
    <t>EUconst_CNTR_Check10Pct</t>
  </si>
  <si>
    <t>Activity list</t>
  </si>
  <si>
    <t>Make grey?</t>
  </si>
  <si>
    <t>EUconst_OK</t>
  </si>
  <si>
    <t>O.K.</t>
  </si>
  <si>
    <t>Check10Pct_</t>
  </si>
  <si>
    <t>EUconst_ERR_NoSignificantChange</t>
  </si>
  <si>
    <t>Umweltbundesamt</t>
  </si>
  <si>
    <t>NIMs baseline data</t>
  </si>
  <si>
    <t>Spain</t>
  </si>
  <si>
    <t>Sweden</t>
  </si>
  <si>
    <t>United Kingdom</t>
  </si>
  <si>
    <t>EUconst_MsgSeeFirst</t>
  </si>
  <si>
    <t>EUconst_MsgProceedF</t>
  </si>
  <si>
    <t>EUconst_MsgProceedEII2</t>
  </si>
  <si>
    <t>EUconst_MsgGoOn</t>
  </si>
  <si>
    <t>Adt</t>
  </si>
  <si>
    <t>EUconst_Inconsistent</t>
  </si>
  <si>
    <t>EUconst_tCO2pkNm3</t>
  </si>
  <si>
    <t>A.II.2.a-f !</t>
  </si>
  <si>
    <t>EUconst_PFCSource</t>
  </si>
  <si>
    <t>EUconst_TransfSource</t>
  </si>
  <si>
    <t>EUconst_GJpa</t>
  </si>
  <si>
    <t>Portugal</t>
  </si>
  <si>
    <t>Romania</t>
  </si>
  <si>
    <t>Slovakia</t>
  </si>
  <si>
    <t>Slovenia</t>
  </si>
  <si>
    <t>EUconst_WithinInst</t>
  </si>
  <si>
    <t>EUconst_HeatUseTypes</t>
  </si>
  <si>
    <t>EUconst_30DayOrCalendarMonth</t>
  </si>
  <si>
    <t>EUconst_NotEligible</t>
  </si>
  <si>
    <t>Orimulsion</t>
  </si>
  <si>
    <t>Anthracite</t>
  </si>
  <si>
    <t>Lignite</t>
  </si>
  <si>
    <t>Column for</t>
  </si>
  <si>
    <t>EUconst_Allowances</t>
  </si>
  <si>
    <t>EUconst_MsgGoOn_d</t>
  </si>
  <si>
    <t>EUconst_MsgGoOnIfNotRelevant</t>
  </si>
  <si>
    <t>EUconst_Month</t>
  </si>
  <si>
    <t>EUconst_BMSubinst</t>
  </si>
  <si>
    <t>EUconst_ERR_DatesSorting</t>
  </si>
  <si>
    <t>EUconst_ERR_RangeOfStartingDate</t>
  </si>
  <si>
    <t>EUconst_ERR_InitialDateMissing</t>
  </si>
  <si>
    <t>Islandic</t>
  </si>
  <si>
    <t>is</t>
  </si>
  <si>
    <t>Norwegian</t>
  </si>
  <si>
    <t>no</t>
  </si>
  <si>
    <t>EUconst_relOrMWhpa</t>
  </si>
  <si>
    <t>EUconst_relOrtCO2pa</t>
  </si>
  <si>
    <t>A.</t>
  </si>
  <si>
    <t>B.</t>
  </si>
  <si>
    <t>C.</t>
  </si>
  <si>
    <t>D.</t>
  </si>
  <si>
    <t>I.</t>
  </si>
  <si>
    <t>J.</t>
  </si>
  <si>
    <t>EUconst_Incomplete</t>
  </si>
  <si>
    <t>EUconst_CapacityInitial</t>
  </si>
  <si>
    <t>CapacityInitial_</t>
  </si>
  <si>
    <t>EUconst_Relevant</t>
  </si>
  <si>
    <t>EUconst_NotRelevant</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</si>
  <si>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</si>
  <si>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</si>
  <si>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</si>
  <si>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</si>
  <si>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</si>
  <si>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</si>
  <si>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</si>
  <si>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</si>
  <si>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</si>
  <si>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</si>
  <si>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</si>
  <si>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</si>
  <si>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</si>
  <si>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</si>
  <si>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</si>
  <si>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</si>
  <si>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</si>
  <si>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</si>
  <si>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</si>
  <si>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</si>
  <si>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</si>
  <si>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</si>
  <si>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</si>
  <si>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</si>
  <si>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</si>
  <si>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</si>
  <si>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</si>
  <si>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</si>
  <si>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</si>
  <si>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</si>
  <si>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</si>
  <si>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</si>
  <si>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</si>
  <si>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</si>
  <si>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</si>
  <si>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</si>
  <si>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</si>
  <si>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</si>
  <si>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</si>
  <si>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</si>
  <si>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</si>
  <si>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</si>
  <si>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</si>
  <si>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</si>
  <si>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</si>
  <si>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</si>
  <si>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</si>
  <si>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</si>
  <si>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</si>
  <si>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</si>
  <si>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(g)</t>
  </si>
  <si>
    <t>Number of activity</t>
  </si>
  <si>
    <t>EUconst_ERR_ActivityMissing</t>
  </si>
  <si>
    <t>1.</t>
  </si>
  <si>
    <t>2.</t>
  </si>
  <si>
    <t>3.</t>
  </si>
  <si>
    <t>4.</t>
  </si>
  <si>
    <t>5.</t>
  </si>
  <si>
    <t>CITL-List</t>
  </si>
  <si>
    <t>EUconst_CNTR_PeriodGreenfield</t>
  </si>
  <si>
    <t>PeriodGreenfield_</t>
  </si>
  <si>
    <t>EUconst_ERR_Mandatory_Bbc</t>
  </si>
  <si>
    <t>EUconst_ERR_StartWithFuels</t>
  </si>
  <si>
    <t>EUconst_ERR_Goto_DI2</t>
  </si>
  <si>
    <t>EUconst_Fuel</t>
  </si>
  <si>
    <t>EUconst_ProcessSource</t>
  </si>
  <si>
    <t>EUconst_ApplicationType</t>
  </si>
  <si>
    <t>EUconst_ERR_Mandatory_ApplicationType</t>
  </si>
  <si>
    <t>EUconst_RCUFrange</t>
  </si>
  <si>
    <t>i.</t>
  </si>
  <si>
    <t>ii.</t>
  </si>
  <si>
    <t>iii.</t>
  </si>
  <si>
    <t xml:space="preserve">Flexicoking </t>
  </si>
  <si>
    <t>No.</t>
  </si>
  <si>
    <t>Type of entity</t>
  </si>
  <si>
    <t>EUconst_HCUF</t>
  </si>
  <si>
    <t>HCUF_</t>
  </si>
  <si>
    <t>Version list</t>
  </si>
  <si>
    <t>Languages list</t>
  </si>
  <si>
    <t xml:space="preserve">ALini </t>
  </si>
  <si>
    <t>HALspecial_</t>
  </si>
  <si>
    <t>EUconst_HeatToolComplex</t>
  </si>
  <si>
    <t>EUconst_HeatToolSelection</t>
  </si>
  <si>
    <t>EUconst_FBSubinst</t>
  </si>
  <si>
    <t>EUconst_MsgEnterThisSection</t>
  </si>
  <si>
    <t>EUconst_MsgGoToNextSubInst</t>
  </si>
  <si>
    <t>EUconst_MsgBackToSheetF</t>
  </si>
  <si>
    <t>EUconst_HeatToolSimple</t>
  </si>
  <si>
    <t>EUconst_kNm3pa</t>
  </si>
  <si>
    <t>EUconst_TonnesOrkNm3pa</t>
  </si>
  <si>
    <t>EUconst_GJperTorKNm3</t>
  </si>
  <si>
    <t>GJ/1000Nm3</t>
  </si>
  <si>
    <t>EUconst_GJperUnit</t>
  </si>
  <si>
    <t>EUconst_HAL99unchanged</t>
  </si>
  <si>
    <t>HAL99unchanged_</t>
  </si>
  <si>
    <t>EUconst_RCUFmissing</t>
  </si>
  <si>
    <t>NER application</t>
  </si>
  <si>
    <t>Croatia</t>
  </si>
  <si>
    <t>HR</t>
  </si>
  <si>
    <t>Croatian</t>
  </si>
  <si>
    <t>hr</t>
  </si>
  <si>
    <t>DELETE</t>
  </si>
  <si>
    <t>(c)</t>
  </si>
  <si>
    <t>(e)</t>
  </si>
  <si>
    <t>(f)</t>
  </si>
  <si>
    <t>Date</t>
  </si>
  <si>
    <t>(a)</t>
  </si>
  <si>
    <t>Austria</t>
  </si>
  <si>
    <t>Belgium</t>
  </si>
  <si>
    <t>Bulgaria</t>
  </si>
  <si>
    <t>Cyprus</t>
  </si>
  <si>
    <t>Czech Republic</t>
  </si>
  <si>
    <t>Denmark</t>
  </si>
  <si>
    <t>Estonia</t>
  </si>
  <si>
    <t>Finland</t>
  </si>
  <si>
    <t>France</t>
  </si>
  <si>
    <t>MSconst_RequireDetailedProductionData</t>
  </si>
  <si>
    <t>http://ec.europa.eu/eurostat/ramon/nomenclatures/index.cfm?TargetUrl=LST_CLS_DLD&amp;StrNom=PRD_2007&amp;StrLanguageCode=EN&amp;StrLayoutCode=</t>
  </si>
  <si>
    <t>MSconst_RequireDetailesFallBack</t>
  </si>
  <si>
    <t>EUconst_RelevantNotRelevant</t>
  </si>
  <si>
    <t>EUconst_CLnonCL</t>
  </si>
  <si>
    <t>http://ec.europa.eu/clima/policies/ets/benchmarking/documentation_en.htm</t>
  </si>
  <si>
    <t>List of technical connections for drop-downlists:</t>
  </si>
  <si>
    <t>sorted line</t>
  </si>
  <si>
    <t>interim value</t>
  </si>
  <si>
    <t>Name of Transfer Entity</t>
  </si>
  <si>
    <t>EUconst_HAL99deltaC</t>
  </si>
  <si>
    <t>EUconst_HCUFrange</t>
  </si>
  <si>
    <t>0 &lt;= HCUF &lt;=1 !</t>
  </si>
  <si>
    <t>ausblenden</t>
  </si>
  <si>
    <t>Conditions:</t>
  </si>
  <si>
    <t>EUconst_HouseholdReportMethods</t>
  </si>
  <si>
    <t>EUconst_MsgGoOn_cd</t>
  </si>
  <si>
    <t>EUconst_MsgGoOn_e</t>
  </si>
  <si>
    <t>(h)</t>
  </si>
  <si>
    <t>(i)</t>
  </si>
  <si>
    <t>EUconst_NA</t>
  </si>
  <si>
    <t>Fall-back Sub-Installation List</t>
  </si>
  <si>
    <t>Sub-inst</t>
  </si>
  <si>
    <t>TJ</t>
  </si>
  <si>
    <t>t CO2e</t>
  </si>
  <si>
    <t>EUconst_TJ</t>
  </si>
  <si>
    <t>EUconst_tCO2e</t>
  </si>
  <si>
    <t>Sorting</t>
  </si>
  <si>
    <t>Germany</t>
  </si>
  <si>
    <t>Greece</t>
  </si>
  <si>
    <t>Hungary</t>
  </si>
  <si>
    <t>Ireland</t>
  </si>
  <si>
    <t>Italy</t>
  </si>
  <si>
    <t>Latvia</t>
  </si>
  <si>
    <t>Lithuania</t>
  </si>
  <si>
    <t>Luxembourg</t>
  </si>
  <si>
    <t>Malta</t>
  </si>
  <si>
    <t>Netherlands</t>
  </si>
  <si>
    <t>Poland</t>
  </si>
  <si>
    <t>Iceland</t>
  </si>
  <si>
    <t>EUconst_CWTpa</t>
  </si>
  <si>
    <t>Draft II NIMs baseline data</t>
  </si>
  <si>
    <t>NIMs 2nd draft</t>
  </si>
  <si>
    <t>EUconst_MBSource</t>
  </si>
  <si>
    <t>EUconst_CEMSSource</t>
  </si>
  <si>
    <t>EUconst_N2OSource</t>
  </si>
  <si>
    <t>EUconst_PrivateHouseholds</t>
  </si>
  <si>
    <t>EUconst_CNTR_Check5Pct</t>
  </si>
  <si>
    <t>Check5Pct_</t>
  </si>
  <si>
    <t>EUconst_PulpPlacedOnMarket</t>
  </si>
  <si>
    <t>CSCF</t>
  </si>
  <si>
    <t>2006 IPCC Guidelines</t>
  </si>
  <si>
    <t>(except biomass)</t>
  </si>
  <si>
    <t>46.4</t>
  </si>
  <si>
    <t>n.a.</t>
  </si>
  <si>
    <t>Biodiesels</t>
  </si>
  <si>
    <t>MS Fuel Category list (Generic List is taken from MRG 2007 Annex I section 11 Table 4)</t>
  </si>
  <si>
    <t>&lt;END of list&gt;</t>
  </si>
  <si>
    <t>Please note: When this list is amended by the MS competent authority, the following technicalities are to be respected:</t>
  </si>
  <si>
    <t>1. the Grey area must be identical to the list which is to appear in the drop down list of sheet "SourceStreams" section I.x.a (x=Fuel number)</t>
  </si>
  <si>
    <t>2. No empty cells should be contained in the grey area (otherwise the operater can enter values which are not contained in the list)</t>
  </si>
  <si>
    <t>Benchmark List</t>
  </si>
  <si>
    <t>Activity (Annex I ETS Directive)</t>
  </si>
  <si>
    <t>No. of BM</t>
  </si>
  <si>
    <t>alternative BM No.</t>
  </si>
  <si>
    <t>Product benchmark</t>
  </si>
  <si>
    <t>Carbon leakage?</t>
  </si>
  <si>
    <t>Benchmark value (EUA/t)</t>
  </si>
  <si>
    <t>Exchangeability electricity</t>
  </si>
  <si>
    <t>CWT</t>
  </si>
  <si>
    <t>Coke</t>
  </si>
  <si>
    <t>SIG_</t>
  </si>
  <si>
    <t>EUconst_CNTR_SIG</t>
  </si>
  <si>
    <t>EUconst_Households</t>
  </si>
  <si>
    <t>CNTR_Merger</t>
  </si>
  <si>
    <t>Installation</t>
  </si>
  <si>
    <t>Has Entry?</t>
  </si>
  <si>
    <t>NER Merger Split</t>
  </si>
  <si>
    <t>NE&amp;C MergerSplit</t>
  </si>
  <si>
    <t>CNTR_YearMergerSplit</t>
  </si>
  <si>
    <t>EUconst_ERR_Mandatory_c</t>
  </si>
  <si>
    <t>EUconst_ConfirmMergerSplit</t>
  </si>
  <si>
    <t>Sheet name:</t>
  </si>
  <si>
    <t>Hyperlink:</t>
  </si>
  <si>
    <t>First draft to DG CLIMA</t>
  </si>
  <si>
    <t>CNTR_HasEntries_A_II:</t>
  </si>
  <si>
    <t>cond. form.?</t>
  </si>
  <si>
    <t>First draft to TWG</t>
  </si>
  <si>
    <t>Second Draft</t>
  </si>
  <si>
    <t>EUconst_Days</t>
  </si>
  <si>
    <t>EUconst_Months</t>
  </si>
  <si>
    <t>EUconst_MergerSplitOrTransfer</t>
  </si>
  <si>
    <t>Rounding error?</t>
  </si>
  <si>
    <t>Identical?</t>
  </si>
  <si>
    <t>EUconst_ERR_Rounding</t>
  </si>
  <si>
    <t>ready for translation</t>
  </si>
  <si>
    <t>Section I has entries?</t>
  </si>
  <si>
    <t>HasError?</t>
  </si>
  <si>
    <t>BM Unit</t>
  </si>
  <si>
    <t>Final</t>
  </si>
  <si>
    <t>CNTR_MergerORSplitORTransfer</t>
  </si>
  <si>
    <t>Sans objet</t>
  </si>
  <si>
    <t>Valeurs absolues</t>
  </si>
  <si>
    <t>Pourcentages</t>
  </si>
  <si>
    <t>Unité</t>
  </si>
  <si>
    <t>Mois</t>
  </si>
  <si>
    <t>Combustible</t>
  </si>
  <si>
    <t>Référentiel</t>
  </si>
  <si>
    <t>Source d'émissions de procédé</t>
  </si>
  <si>
    <t>Élément du bilan massique</t>
  </si>
  <si>
    <t>Source CEMS</t>
  </si>
  <si>
    <t>Source N2O</t>
  </si>
  <si>
    <t>Source PFC</t>
  </si>
  <si>
    <t>Émissions transférées ou stockées</t>
  </si>
  <si>
    <t>Sous-installation avec référentiel de produit</t>
  </si>
  <si>
    <t>Sous-installation pour méthode alternative</t>
  </si>
  <si>
    <t>année</t>
  </si>
  <si>
    <t>ou</t>
  </si>
  <si>
    <t>Installation relevant du SEQE</t>
  </si>
  <si>
    <t>Installation ne relevant pas du SEQE</t>
  </si>
  <si>
    <t>Installation produisant de l'acide nitrique</t>
  </si>
  <si>
    <t>Réseaux de distribution de chaleur</t>
  </si>
  <si>
    <t>Chaleur mesurable</t>
  </si>
  <si>
    <t>Gaz résiduaire</t>
  </si>
  <si>
    <t>CO2 transféré (CCS-CSC)</t>
  </si>
  <si>
    <t>Chaleur</t>
  </si>
  <si>
    <t>Importation</t>
  </si>
  <si>
    <t>Exportation</t>
  </si>
  <si>
    <t>Au sein de l'installation</t>
  </si>
  <si>
    <t>Production de marchandises</t>
  </si>
  <si>
    <t>énergie mécanique</t>
  </si>
  <si>
    <t>chauffage</t>
  </si>
  <si>
    <t>refroidissement</t>
  </si>
  <si>
    <t>inconnu</t>
  </si>
  <si>
    <t>CO2 (corrigé des gaz résiduaires)</t>
  </si>
  <si>
    <t>réduction des composés métalliques</t>
  </si>
  <si>
    <t>élimination des impuretés</t>
  </si>
  <si>
    <t>décomposition des carbonates</t>
  </si>
  <si>
    <t>synthèse chimique</t>
  </si>
  <si>
    <t>matières contenant du carbone</t>
  </si>
  <si>
    <t xml:space="preserve">réduction d'oxydes métalloïdes ou d'oxydes non métalliques </t>
  </si>
  <si>
    <t>pertinent</t>
  </si>
  <si>
    <t>non pertinent</t>
  </si>
  <si>
    <t>Fuite de carbone</t>
  </si>
  <si>
    <t>non exposé au risque de fuite de carbone</t>
  </si>
  <si>
    <t>quotas</t>
  </si>
  <si>
    <t>L'exploitant de cette installation confirme que la présente déclaration peut être utilisée par l'autorité compétente et la Commission européenne.</t>
  </si>
  <si>
    <t>Méthode A = méthode des pentes</t>
  </si>
  <si>
    <t>Méthode B = méthode de la surtension</t>
  </si>
  <si>
    <t>Données de référence</t>
  </si>
  <si>
    <t>Proportion du niveau d'activité historique (HAL) (G.I.2.k)</t>
  </si>
  <si>
    <t>incomplet!</t>
  </si>
  <si>
    <t>négatif!</t>
  </si>
  <si>
    <t>incohérent!</t>
  </si>
  <si>
    <t>Il manque la date!</t>
  </si>
  <si>
    <t>Saisie manuelle!</t>
  </si>
  <si>
    <t>Il manque les données relatives au coefficient d'utilisation historique de la capacité (HCUF)!</t>
  </si>
  <si>
    <t>ménages</t>
  </si>
  <si>
    <t>chaleur mesurable hors SEQE</t>
  </si>
  <si>
    <t>Module simple applicable à la chaleur (E.II.1)</t>
  </si>
  <si>
    <t>Module complexe applicable à la chaleur (E.II.2)</t>
  </si>
  <si>
    <t>expérimental</t>
  </si>
  <si>
    <t>point a)</t>
  </si>
  <si>
    <t>La dénomination d'au moins une sous-installation a été saisie plusieurs fois. Veuillez corriger!</t>
  </si>
  <si>
    <t>Sélectionner au moins une sous-installation à la section III.1 ou III.2!</t>
  </si>
  <si>
    <t>Indiquer pour chaque sous-installation si cela est pertinent ou non!</t>
  </si>
  <si>
    <t>Introduire les informations indiquées aux points b) et c) ci-dessus!</t>
  </si>
  <si>
    <t>Introduire des données détaillées sur les flux à partir de la section II ci-après!</t>
  </si>
  <si>
    <t>Introduire maintenant les données sur les émissions totales dans la section D.I.2 de la feuille «D_Emissions!</t>
  </si>
  <si>
    <t>Introduire aussi les données requises dans la section E.II.4!</t>
  </si>
  <si>
    <t>Introduire aussi les données requises dans la section D.II.3.a!</t>
  </si>
  <si>
    <t xml:space="preserve">Des instructions détaillées concernant la saisie des données dans ce module figurent dans la première partie de ce module. </t>
  </si>
  <si>
    <t>Passer à la feuille «F_ProductBM!</t>
  </si>
  <si>
    <t>Passer à la section E.II.2</t>
  </si>
  <si>
    <t>Passer aux points ci-dessous</t>
  </si>
  <si>
    <t>Utiliser le module applicable à l'interchangeabilité de l'électricité</t>
  </si>
  <si>
    <t>Passer au point d) ci-dessous.</t>
  </si>
  <si>
    <t>Si non pertinent pour votre installation, passer aux points suivants.</t>
  </si>
  <si>
    <t>Les dates doivent être classées de la plus ancienne à la plus récente!</t>
  </si>
  <si>
    <t>La date de début doit être postérieure au 30 juin 2011!</t>
  </si>
  <si>
    <t>Toutes les dates doivent être postérieures au 30 juin 2011!</t>
  </si>
  <si>
    <t>Il manque la date de début!</t>
  </si>
  <si>
    <t>Entrer des données dans cette section!</t>
  </si>
  <si>
    <t>Passer à la sous-installation suivante!</t>
  </si>
  <si>
    <t>Cliquer ici pour revenir à la feuille «F_ProductBM</t>
  </si>
  <si>
    <t>Saisir maintenant les données aux points c) et d)!</t>
  </si>
  <si>
    <t>Passer au point e)!</t>
  </si>
  <si>
    <t>L'article 9, paragraphe 6, des CIM (mesures communautaires d'application) doit être appliqué!</t>
  </si>
  <si>
    <t>Utiliser le module CWT de la feuille «SpecialBM pour calculer les niveaux d'activité historiques.</t>
  </si>
  <si>
    <t>Utiliser le module applicable à la chaux de la feuille «SpecialBM pour calculer les niveaux d'activité historiques.</t>
  </si>
  <si>
    <t>Utiliser le module applicable à la dolomie de la feuille «SpecialBM pour calculer les niveaux d'activité historiques.</t>
  </si>
  <si>
    <t>Attention: pour la fabrication intégrée de pâte et de papier, des règles particulières d'allocation s'appliquent (article 10, paragraphe 7, des CIM).</t>
  </si>
  <si>
    <t>La chaleur mesurable fournie à d'autres sous-installations doit être traitée comme de la chaleur provenant de sources hors SEQE.</t>
  </si>
  <si>
    <t>Utiliser le module applicable au vapocraquage de la feuille «SpecialBM pour calculer les niveaux d'activité historiques et l'allocation provisoire.</t>
  </si>
  <si>
    <t>Utiliser le module applicable au CWT de la feuille «SpecialBM pour calculer les niveaux d'activité historiques.</t>
  </si>
  <si>
    <t>Utiliser le module applicable à l'oxyde d'éthylène/glycols de la feuille «SpecialBM pour calculer les niveaux d'activité historiques.</t>
  </si>
  <si>
    <t>Utiliser le module applicable au CVM de la feuille «SpecialBM pour calculer l'allocation provisoire.</t>
  </si>
  <si>
    <t>Utiliser le module applicable à l'hydrogène de la feuille «SpecialBM pour calculer les niveaux d'activité historiques.</t>
  </si>
  <si>
    <t>Utiliser le module applicable aux gaz de synthèse de la feuille «SpecialBM pour calculer les niveaux d'activité historiques.</t>
  </si>
  <si>
    <t>Autriche</t>
  </si>
  <si>
    <t>Belgique</t>
  </si>
  <si>
    <t>Bulgarie</t>
  </si>
  <si>
    <t>Chypre</t>
  </si>
  <si>
    <t>République tchèque</t>
  </si>
  <si>
    <t>Danemark</t>
  </si>
  <si>
    <t>Estonie</t>
  </si>
  <si>
    <t>Finlande</t>
  </si>
  <si>
    <t>Allemagne</t>
  </si>
  <si>
    <t>Grèce</t>
  </si>
  <si>
    <t>Hongrie</t>
  </si>
  <si>
    <t>Islande</t>
  </si>
  <si>
    <t>Irlande</t>
  </si>
  <si>
    <t>Italie</t>
  </si>
  <si>
    <t>Lettonie</t>
  </si>
  <si>
    <t>Lituanie</t>
  </si>
  <si>
    <t>Malte</t>
  </si>
  <si>
    <t>Pays-Bas</t>
  </si>
  <si>
    <t>Norvège</t>
  </si>
  <si>
    <t>Pologne</t>
  </si>
  <si>
    <t>Roumanie</t>
  </si>
  <si>
    <t>Slovaquie</t>
  </si>
  <si>
    <t>Slovénie</t>
  </si>
  <si>
    <t>Espagne</t>
  </si>
  <si>
    <t>Suède</t>
  </si>
  <si>
    <t>Royaume-Uni</t>
  </si>
  <si>
    <t>Combustion de combustibles dans des installations dont la puissance calorifique totale de combustion est supérieure à 20 MW (à l’exception des installations d’incinération de déchets dangereux ou municipaux)</t>
  </si>
  <si>
    <t xml:space="preserve">Raffinage de pétrole </t>
  </si>
  <si>
    <t xml:space="preserve">Production de coke </t>
  </si>
  <si>
    <t xml:space="preserve">Grillage ou frittage, y compris pelletisation, de minerai métallique (y compris de minerai sulfuré) </t>
  </si>
  <si>
    <t xml:space="preserve">Production de fonte ou d'acier (fusion primaire ou secondaire), y compris les équipements pour coulée continue d'une capacité de plus de 2,5 tonnes par heure </t>
  </si>
  <si>
    <t xml:space="preserve">Production ou transformation de métaux ferreux (y compris les ferro-alliages) lorsque des unités de combustion dont la puissance calorifique totale de combustion est supérieure à 20 MW sont exploitées. La transformation comprend, notamment, les laminoirs, les réchauffeurs, les fours de recuit, les forges, les fonderies, les unités de revêtement et les unités de décapage </t>
  </si>
  <si>
    <t xml:space="preserve">Production d’aluminium primaire </t>
  </si>
  <si>
    <t>Production d’aluminium secondaire, lorsque des unités de combustion dont la puissance calorifique totale de combustion est supérieure à 20 MW sont exploitées</t>
  </si>
  <si>
    <t>Production ou transformation de métaux non ferreux, y compris la production d’alliages, l’affinage, le moulage en fonderie, etc., lorsque des unités de combustion dont la puissance calorifique totale de combustion (y compris les combustibles utilisés comme agents réducteurs) est supérieure à 20 MW sont exploitées.</t>
  </si>
  <si>
    <t xml:space="preserve">Production de clinker (ciment) dans des fours rotatifs avec une capacité de production supérieure à 500 tonnes par jour, ou dans d’autres types de fours, avec une capacité de production supérieure à 50 tonnes par jour </t>
  </si>
  <si>
    <t xml:space="preserve">Production de chaux, y compris la calcination de dolomite et de magnésite, dans des fours rotatifs ou dans d’autres types de fours, avec une capacité de production supérieure à 50 tonnes par jour </t>
  </si>
  <si>
    <t xml:space="preserve">Fabrication du verre, y compris de fibres de verre, avec une capacité de fusion supérieure à 20 tonnes par jour </t>
  </si>
  <si>
    <t xml:space="preserve">Fabrication de produits céramiques par cuisson, notamment de tuiles, de briques, de pierres réfractaires, de carrelages, de grès ou de porcelaines, avec une capacité de production supérieure à 75 tonnes par jour </t>
  </si>
  <si>
    <t xml:space="preserve">Fabrication de matériau isolant en laine minérale à partir de roches, de verre ou de laitier, avec une capacité de fusion supérieure à 20 tonnes par jour </t>
  </si>
  <si>
    <t xml:space="preserve">Séchage ou calcination du plâtre ou production de planches de plâtre et autres compositions à base de plâtre, lorsque des unités de combustion dont la puissance calorifique de combustion est supérieure à 20 MW sont exploitées </t>
  </si>
  <si>
    <t xml:space="preserve">Production de pâte à papier à partir du bois ou d’autres matières fibreuses </t>
  </si>
  <si>
    <t xml:space="preserve">Production de papier ou de carton, avec une capacité de production supérieure à 20 tonnes par jour. </t>
  </si>
  <si>
    <t xml:space="preserve">Production de noir de carbone, y compris la carbonisation de substances organiques telles que les huiles, les goudrons, les résidus de craquage et de distillation, lorsque des unités de combustion dont la puissance calorifique totale de combustion est supérieure à 20 MW sont exploitées </t>
  </si>
  <si>
    <t xml:space="preserve">Production d’acide nitrique </t>
  </si>
  <si>
    <t xml:space="preserve">Production d’acide adipique </t>
  </si>
  <si>
    <t>Production de glyoxal et d’acide glyoxylique</t>
  </si>
  <si>
    <t xml:space="preserve">Production d’ammoniac </t>
  </si>
  <si>
    <t xml:space="preserve">Production de produits chimiques organiques en vrac par craquage, reformage, oxydation partielle ou totale, ou par d’autres procédés similaires, avec une capacité de production supérieure à 100 tonnes par jour </t>
  </si>
  <si>
    <t xml:space="preserve">Production d’hydrogène (H2) et de gaz de synthèse par reformage ou oxydation partielle avec une capacité de production supérieure à 25 tonnes par jour </t>
  </si>
  <si>
    <t xml:space="preserve">Production de soude (Na2CO3) et de bicarbonate de sodium (NaHCO3) </t>
  </si>
  <si>
    <t>Captage des gaz à effet de serre produits par les installations couvertes par la directive en vue de leur transport et de leur stockage géologique dans un site de stockage agréé au titre de la directive 2009/31/CE</t>
  </si>
  <si>
    <t>Transport par pipelines des gaz à effet de serre en vue de leur stockage dans un site de stockage agréé au titre de la directive 2009/31/CE</t>
  </si>
  <si>
    <t>Stockage géologique des gaz à effet de serre dans un site de stockage agréé au titre de la directive 2009/31/CE</t>
  </si>
  <si>
    <t>Produits de raffinerie</t>
  </si>
  <si>
    <t>Minerai aggloméré</t>
  </si>
  <si>
    <t>Fonte liquide</t>
  </si>
  <si>
    <t>Acier au carbone produit au four électrique</t>
  </si>
  <si>
    <t>Acier fortement allié produit au four électrique</t>
  </si>
  <si>
    <t>Fonderie de fonte</t>
  </si>
  <si>
    <t>Anode précuite</t>
  </si>
  <si>
    <t>Aluminium [primaire]</t>
  </si>
  <si>
    <t>Clinker de ciment gris</t>
  </si>
  <si>
    <t>Clinker de ciment blanc</t>
  </si>
  <si>
    <t>Chaux</t>
  </si>
  <si>
    <t>Dolomie</t>
  </si>
  <si>
    <t>Dolomie frittée</t>
  </si>
  <si>
    <t>Verre flotté («float)</t>
  </si>
  <si>
    <t>Bouteilles et pots en verre non coloré</t>
  </si>
  <si>
    <t>Bouteilles et pots en verre coloré</t>
  </si>
  <si>
    <t>Produits de fibre de verre en filament continu</t>
  </si>
  <si>
    <t>Briques de parement</t>
  </si>
  <si>
    <t>Briques de pavage</t>
  </si>
  <si>
    <t>Tuiles</t>
  </si>
  <si>
    <t>Poudre atomisée</t>
  </si>
  <si>
    <t>Laine minérale</t>
  </si>
  <si>
    <t>Plâtre</t>
  </si>
  <si>
    <t>Gypse secondaire sec</t>
  </si>
  <si>
    <t>Plaques de plâtre</t>
  </si>
  <si>
    <t>Pâte kraft fibres courtes</t>
  </si>
  <si>
    <t>Pâte kraft fibres longues</t>
  </si>
  <si>
    <t>Pâte au bisulfite, pâte thermomécanique et pâte mécanique</t>
  </si>
  <si>
    <t>Pâte à partir de papier recyclé</t>
  </si>
  <si>
    <t>Papier journal</t>
  </si>
  <si>
    <t>Papier fin non couché</t>
  </si>
  <si>
    <t>Papier fin couché</t>
  </si>
  <si>
    <t>«Tissue</t>
  </si>
  <si>
    <t>«Testliner et papier pour cannelure</t>
  </si>
  <si>
    <t>Carton non couché</t>
  </si>
  <si>
    <t>Carton couché</t>
  </si>
  <si>
    <t>Noir de carbone</t>
  </si>
  <si>
    <t>Acide nitrique</t>
  </si>
  <si>
    <t>Acide adipique</t>
  </si>
  <si>
    <t>Ammoniac</t>
  </si>
  <si>
    <t>Vapocraquage</t>
  </si>
  <si>
    <t>Aromatiques</t>
  </si>
  <si>
    <t>Styrène</t>
  </si>
  <si>
    <t>Phénol/acétone</t>
  </si>
  <si>
    <t>Oxyde d'éthylène/éthylène glycols</t>
  </si>
  <si>
    <t>Chlorure de vinyle monomère</t>
  </si>
  <si>
    <t>PVC en suspension (S-PVC)</t>
  </si>
  <si>
    <t>PVC en émulsion (E-PVC)</t>
  </si>
  <si>
    <t>Hydrogène</t>
  </si>
  <si>
    <t>Gaz de synthèse</t>
  </si>
  <si>
    <t>Carbonate de soude</t>
  </si>
  <si>
    <t>Sous-installation avec référentiel de chaleur, CL (risque de fuite de carbone)</t>
  </si>
  <si>
    <t>Sous-installation avec référentiel de chaleur, non-CL (sans risque de fuite de carbone)</t>
  </si>
  <si>
    <t>Sous-installation avec référentiel de combustibles, CL</t>
  </si>
  <si>
    <t>Sous-installation avec référentiel de combustibles, non-CL</t>
  </si>
  <si>
    <t>Sous-installation avec émissions de procédé, CL</t>
  </si>
  <si>
    <t>Sous-installation avec émissions de procédé, non-CL</t>
  </si>
  <si>
    <t>Pétrole brut</t>
  </si>
  <si>
    <t>Gaz naturel</t>
  </si>
  <si>
    <t xml:space="preserve">Essence automobile </t>
  </si>
  <si>
    <t>Kérosène</t>
  </si>
  <si>
    <t>Essence aviation (AvGas)</t>
  </si>
  <si>
    <t>Carburéacteur large coupe (jet B)</t>
  </si>
  <si>
    <t>Kérosène (jet A1 ou jet A)</t>
  </si>
  <si>
    <t>Huile de schiste</t>
  </si>
  <si>
    <t>Gazole/carburant diesel</t>
  </si>
  <si>
    <t>Mazout résiduel</t>
  </si>
  <si>
    <t>Gaz de pétrole liquéfié</t>
  </si>
  <si>
    <t>Éthane</t>
  </si>
  <si>
    <t>Naphta</t>
  </si>
  <si>
    <t>Bitume</t>
  </si>
  <si>
    <t>Lubrifiants</t>
  </si>
  <si>
    <t>Coke de pétrole</t>
  </si>
  <si>
    <t>Charges de raffinage du pétrole</t>
  </si>
  <si>
    <t>Gaz de raffinerie</t>
  </si>
  <si>
    <t>Paraffines</t>
  </si>
  <si>
    <t>White spirit et essences spéciales</t>
  </si>
  <si>
    <t>Autres produits pétroliers</t>
  </si>
  <si>
    <t>Charbon cokéfiable</t>
  </si>
  <si>
    <t>Autres charbons bitumineux</t>
  </si>
  <si>
    <t>Charbon subbitumineux</t>
  </si>
  <si>
    <t>Schistes bitumineux et sables asphaltiques</t>
  </si>
  <si>
    <t>Agglomérés</t>
  </si>
  <si>
    <t>Coke de four et coke de lignite</t>
  </si>
  <si>
    <t>Coke de gaz</t>
  </si>
  <si>
    <t>Coke de houille</t>
  </si>
  <si>
    <t>Gaz d’usine à gaz</t>
  </si>
  <si>
    <t>Gaz de cokeries</t>
  </si>
  <si>
    <t>Gaz de haut-fourneau</t>
  </si>
  <si>
    <t>Gaz de convertisseur à l’oxygène</t>
  </si>
  <si>
    <t>Déchets industriels</t>
  </si>
  <si>
    <t>Huiles usagées</t>
  </si>
  <si>
    <t>Tourbe</t>
  </si>
  <si>
    <t>Bois/déchets de bois</t>
  </si>
  <si>
    <t>Autre biomasse primaire solide</t>
  </si>
  <si>
    <t>Charbon de bois</t>
  </si>
  <si>
    <t>Bioessence</t>
  </si>
  <si>
    <t>Autres biocarburants liquides</t>
  </si>
  <si>
    <t>Gaz de décharge</t>
  </si>
  <si>
    <t>Gaz de boues d'épuration</t>
  </si>
  <si>
    <t>Autres biogaz</t>
  </si>
  <si>
    <t>Pneus usagés</t>
  </si>
  <si>
    <t>Monoxyde de carbone</t>
  </si>
  <si>
    <t>Méthane</t>
  </si>
  <si>
    <t>Zone de navigation:</t>
  </si>
  <si>
    <t>Feuille suivante</t>
  </si>
  <si>
    <t>Résumé</t>
  </si>
  <si>
    <t>Début de feuille</t>
  </si>
  <si>
    <t>Fin de feuille</t>
  </si>
  <si>
    <t>SOMMAIRE</t>
  </si>
  <si>
    <t>Version linguistique:</t>
  </si>
  <si>
    <t>Nom du fichier de référence:</t>
  </si>
  <si>
    <t>Informations concernant le présent fichier:</t>
  </si>
  <si>
    <t>Dénomination de l'installation:</t>
  </si>
  <si>
    <t>Identificateur unique de l'installation:</t>
  </si>
  <si>
    <t>Si votre autorité compétente exige que vous remettiez un exemplaire papier signé de la déclaration, veuillez signer dans l'espace ci-dessous:</t>
  </si>
  <si>
    <t>Nom et signature du  
responsable légal</t>
  </si>
  <si>
    <t>Table des matières</t>
  </si>
  <si>
    <t>Feuille précédente</t>
  </si>
  <si>
    <t>LIGNES DIRECTRICES ET CONDITIONS</t>
  </si>
  <si>
    <t>Informations générales sur ce modèle</t>
  </si>
  <si>
    <t xml:space="preserve">http://eur-lex.europa.eu/LexUriServ/LexUriServ.do?uri=CONSLEG:2003L0087:20090625:FR:PDF </t>
  </si>
  <si>
    <t>Comment utiliser ce fichier:</t>
  </si>
  <si>
    <t>Il est recommandé de progresser dans le fichier en commençant par le début. Vous serez guidé tout au long du formulaire par certaines fonctions qui dépendent de l'information saisie antérieurement, telles que le changement de couleur des cellules lorsqu'une entrée n'est pas nécessaire (voir codes de couleur ci-après). Dans certains cas, il peut toutefois se révéler nécessaire d'introduire d'abord des données sur une autre feuille avant de poursuivre la saisie (par exemple, il faut remplir la feuille «H_specialBM avant de finaliser la saisie des données sur la feuille «F_ProductBM lorsque l'annexe III des CIM s'applique).</t>
  </si>
  <si>
    <t>Lorsque la valeur à introduire est zéro, il convient de la saisir plutôt que de laisser la cellule vide. Si la cellule est laissée vide, l'autorité compétente ignore si la valeur n'a pas été introduite, si elle est non pertinente ou si elle est inconnue. Il convient de saisir systématiquement les valeurs nécessaires aux calculs (et en particulier les valeurs égales à zéro, car certaines formules ne produisent pas de résultat tant que des cellules restent vides).</t>
  </si>
  <si>
    <t>Dans plusieurs champs, vous pouvez choisir parmi des entrées prédéfinies. Pour effectuer votre choix à partir d'une telle «liste déroulante, cliquez avec la souris sur la petite flèche apparaissant sur le côté droit de la cellule ou appuyez simultanément sur les touches «Alt+Flèche vers le bas après avoir sélectionné la cellule. Certains champs vous permettent de saisir votre propre texte, même s'il existe une liste déroulante. C'est le cas lorsque la liste déroulante contient des entrées vides.</t>
  </si>
  <si>
    <t>Des messages d'erreurs apparaîtront parfois lorsque les données saisies sont incomplètes. Cependant, l'absence de message d'erreur ne garantit pas l'absence d'erreurs de calcul, un contrôle de l'exhaustivité des données n'étant pas toujours possible. Si aucun résultat n'apparaît dans un champ en vert, on peut supposer qu'il manque des données.</t>
  </si>
  <si>
    <t>Il convient de veiller tout particulièrement à la cohérence entre les données et les unités indiquées.</t>
  </si>
  <si>
    <t>Les messages d'erreur sont souvent très brefs en raison du peu d'espace disponible. Les plus importants sont les suivants:</t>
  </si>
  <si>
    <t>Signifie que les données sont insuffisantes pour permettre le calcul (par exemple, il manque un facteur d'émission pour une année).</t>
  </si>
  <si>
    <t>Les unités sélectionnées ne sont pas cohérentes et les calculs basés sur les entrées correspondantes aboutiront à des résultats erronés.</t>
  </si>
  <si>
    <t>Introduire les données à la section A.III.3!</t>
  </si>
  <si>
    <t>Ce type de message fait référence à des parties du document. Il signifie qu'il manque des données dans les sections indiquées.</t>
  </si>
  <si>
    <t>Codes de couleur et polices de caractères:</t>
  </si>
  <si>
    <t>Texte noir en caractères gras:</t>
  </si>
  <si>
    <t>Ce texte décrit les données requises.</t>
  </si>
  <si>
    <t>Texte en italique en caractères plus petits:</t>
  </si>
  <si>
    <t xml:space="preserve">Ce texte fournit des explications complémentaires. </t>
  </si>
  <si>
    <t>Les champs en jaune doivent être obligatoirement remplis. Cependant, si cela n'est pas pertinent pour l'installation, aucune donnée n'est requise.</t>
  </si>
  <si>
    <t>Les champs en jaune clair sont facultatifs.</t>
  </si>
  <si>
    <t>Dans les champs en vert figurent les résultats calculés automatiquement. Le texte en rouge est réservé aux messages d'erreur (données manquantes, etc.).</t>
  </si>
  <si>
    <t>Un champ hachuré indique qu'il n'y a plus lieu de remplir ce champ en raison de l'information saisie dans un autre champ.</t>
  </si>
  <si>
    <t>Les zones grisées doivent être remplies par les États membres avant la publication de la version adaptée du modèle.</t>
  </si>
  <si>
    <t>Les zones en gris clair sont réservées à la navigation et aux hyperliens.</t>
  </si>
  <si>
    <t>Les panneaux de navigation au début de chaque feuille contiennent des hyperliens permettant d'accéder rapidement aux différentes sections du document. La première ligne («Table des matières, «Feuille précédente, «Feuille suivante, «Résumé) et les points «Début de feuille et «Fin de feuille sont identiques sur toutes les feuilles. Selon la feuille, le menu comporte plus ou moins d'éléments. Si la couleur du fond de l'une des zones d'hyperlien devient rouge, cela signifie qu'il manque des données dans la section correspondante (et non dans l'ensemble des feuilles).</t>
  </si>
  <si>
    <t>Ce modèle a été verrouillé pour empêcher la saisie de données en dehors des champs en jaune. Toutefois, pour des raisons de transparence, aucun mot de passe n'a été établi. Cela permet de voir toutes les formules. Lors de l'utilisation de ce fichier pour l'introduction des données, il est recommandé de maintenir activée la protection. La protection des feuilles ne devrait être désactivée que pour vérifier la validité des formules. Il est recommandé de procéder à cette opération dans un fichier à part.</t>
  </si>
  <si>
    <t>Afin de protéger les formules contre toute modification involontaire aboutissant généralement à des résultats erronés et trompeurs,  
il est extrêmement important de NE PAS UTILISER les fonctions COUPER et COLLER. 
Si vous souhaitez déplacer des données, COPIEZ et COLLEZ-les d'abord, puis effacez les données non désirées de l'emplacement initial (erroné).</t>
  </si>
  <si>
    <t>Les champs de données n'ont pas été optimisés pour les formats numériques et autres. Cependant, la protection des feuilles a été limitée de manière à vous permettre d'utiliser vos propres formats. Vous pouvez notamment décider du nombre de décimales affichées. En principe, le nombre de décimales est indépendant du degré de précision du calcul. En principe, l'option «Precision as displayed dans MS Excel devrait être désactivée. Pour de plus amples renseignements, consulter la fonction «Help de MS Excel à ce sujet.</t>
  </si>
  <si>
    <t>AVERTISSEMENT: Toutes les formules ont été soigneusement élaborées. Néanmoins, la possibilité qu'elles contiennent des erreurs ne peut être totalement exclue. 
Comme indiqué précédemment, la transparence totale est assurée aux fins du contrôle de la validité des calculs. Ni les auteurs de ce fichier, ni la Commission européenne ne peuvent être tenus pour responsables des éventuels dommages découlant de résultats erronés ou trompeurs obtenus à partir des calculs fournis.  
La vérification de l'exactitude des données notifiées à l'autorité compétente relève entièrement de la responsabilité de l'utilisateur de ce fichier (c'est-à-dire l'exploitant de l'installation relevant du SEQE).</t>
  </si>
  <si>
    <t>Autres informations propres à l'État membre</t>
  </si>
  <si>
    <t>La présente déclaration doit être remise à votre autorité compétente, à l'adresse suivante:</t>
  </si>
  <si>
    <t>Sources d'information:</t>
  </si>
  <si>
    <t>Sites internet de l'UE:</t>
  </si>
  <si>
    <t>Législation de l'UE:</t>
  </si>
  <si>
    <t>http://eur-lex.europa.eu/fr/index.htm</t>
  </si>
  <si>
    <t>Généralités sur le SEQE de l'UE:</t>
  </si>
  <si>
    <t>Autres sites internet:</t>
  </si>
  <si>
    <t>Service d'assistance:</t>
  </si>
  <si>
    <t>&lt;à remplir par l'État membre, le cas échéant&gt;</t>
  </si>
  <si>
    <t>Consignes supplémentaires de l'État membre:</t>
  </si>
  <si>
    <t xml:space="preserve">&lt;&lt;&lt; Cliquer ici pour passer à la feuille suivante &gt;&gt;&gt; </t>
  </si>
  <si>
    <t>A. 
Données relatives à l'installation</t>
  </si>
  <si>
    <t>Code d'identification de l'installation</t>
  </si>
  <si>
    <t>Personnes de contact</t>
  </si>
  <si>
    <t>Vérificateur</t>
  </si>
  <si>
    <t>Informations complémentaires</t>
  </si>
  <si>
    <t>Admissibilité</t>
  </si>
  <si>
    <t>Connexions techniques</t>
  </si>
  <si>
    <t>Identification de l'installation</t>
  </si>
  <si>
    <t>Informations générales:</t>
  </si>
  <si>
    <t>La dénomination doit être identique à celle utilisée pour la correspondance avec l'autorité compétente.</t>
  </si>
  <si>
    <t>État membre dans lequel l'installation est située:</t>
  </si>
  <si>
    <t>Cette installation relevait-elle du SEQE de l'UE auparavant?</t>
  </si>
  <si>
    <t>Identificateur unique attribué par l'autorité compétente:</t>
  </si>
  <si>
    <t xml:space="preserve">Les autorités compétentes doivent s'assurer qu'elles disposent  d'un identificateur unique avant de notifier toute donnée à la Commission européenne. </t>
  </si>
  <si>
    <t>Code d'identification de l'installation dans le registre:</t>
  </si>
  <si>
    <t>Il s'agit généralement d'un nombre naturel, c'est-à-dire d'un code différent de l'identificateur d'autorisation utilisé dans le registre.</t>
  </si>
  <si>
    <t>Identificateur unique proposé aux fins de la notification à la Commission:</t>
  </si>
  <si>
    <t>Données relatives à l'exploitant:</t>
  </si>
  <si>
    <t>On entend par «exploitant toute personne [physique ou morale] qui exploite ou détient une installation, ou, si cela est prévu par la législation nationale, toute personne qui s'est vu déléguer à l'égard du fonctionnement technique de l'installation un pouvoir économique déterminant.</t>
  </si>
  <si>
    <t>Nom de l’exploitant:</t>
  </si>
  <si>
    <t>Rue, numéro:</t>
  </si>
  <si>
    <t>Code postal:</t>
  </si>
  <si>
    <t>Ville:</t>
  </si>
  <si>
    <t>Nom du représentant autorisé:</t>
  </si>
  <si>
    <t>Courrier électronique:</t>
  </si>
  <si>
    <t>Téléphone:</t>
  </si>
  <si>
    <t>Télécopieur:</t>
  </si>
  <si>
    <t>Adresse de l'installation:</t>
  </si>
  <si>
    <t>Personnes à contacter:</t>
  </si>
  <si>
    <t>Veuillez indiquer ici le nom des personnes à qui la DREAL pourrait éventuellement poser des questions au sujet de la présente déclaration, et notamment en ce qui concerne sa vérification.</t>
  </si>
  <si>
    <t>Principale personne à consulter pour des questions techniques concernant les données relatives à l'installation:</t>
  </si>
  <si>
    <t>Nom:</t>
  </si>
  <si>
    <t>Autre personne à contacter:</t>
  </si>
  <si>
    <t>Raison sociale:</t>
  </si>
  <si>
    <t>Code postal/ZIP:</t>
  </si>
  <si>
    <t>Personne à contacter pour le vérificateur:</t>
  </si>
  <si>
    <t>Cette personne devra avoir une bonne connaissance de votre déclaration. En principe, il s'agit du vérificateur principal chargé de la déclaration</t>
  </si>
  <si>
    <t>Numéro de téléphone:</t>
  </si>
  <si>
    <t>Informations concernant l'habilitation ou la reconnaissance du vérificateur:</t>
  </si>
  <si>
    <t>Lorsque l'État membre n'a pas recours à l'habilitation mais à un autre mode de reconnaissance des vérificateurs, les informations correspondantes doivent être indiquées ci-dessous, comme s'il s'agissait d'une habilitation.</t>
  </si>
  <si>
    <t>L'existence de ces informations est fonction des pratiques de l'État membre responsable en matière d'habilitation/autorisation des vérificateurs.</t>
  </si>
  <si>
    <t>État membre d'habilitation:</t>
  </si>
  <si>
    <t>Numéro d'enregistrement délivré par l'organisme d'accréditation:</t>
  </si>
  <si>
    <t>Autres données relatives à l'installation:</t>
  </si>
  <si>
    <t>Activités au sens de l'annexe I de la directive SEQE-UE:</t>
  </si>
  <si>
    <t>Dans la mesure du possible, veuillez classer les activités en fonction de leurs émissions directes, en commençant par l'activité produisant la quantité la plus élevée d'émissions directes.</t>
  </si>
  <si>
    <t>Dénomination de l'activité (annexe I de la directive SEQE-UE)</t>
  </si>
  <si>
    <t>Sous quel code NACE votre entreprise a-t-elle déclaré sa valeur ajoutée aux fins des statistiques structurelles sur les entreprises?</t>
  </si>
  <si>
    <t>Si vous n'êtes pas sûr des valeurs à indiquer ici, veuillez prendre contact avec l'insee.</t>
  </si>
  <si>
    <t xml:space="preserve">La NACE Rév. 1.1 peut être consultée à l'adresse suivante: </t>
  </si>
  <si>
    <t>http://ec.europa.eu/eurostat/ramon/nomenclatures/index.cfm?TargetUrl=LST_CLS_DLD&amp;StrNom=NACE_1_1&amp;StrLanguageCode=FR&amp;StrLayoutCode=HIERARCHIC</t>
  </si>
  <si>
    <t xml:space="preserve">La NACE Rév. 2.0 peut être consultée à l'adresse suivante: </t>
  </si>
  <si>
    <t>http://ec.europa.eu/eurostat/ramon/nomenclatures/index.cfm?TargetUrl=LST_CLS_DLD&amp;StrNom=NACE_REV2&amp;StrLanguageCode=FR&amp;StrLayoutCode=HIERARCHIC</t>
  </si>
  <si>
    <t>Le code à utiliser est le code NACE à 4 chiffres (nnnn), sans point ni autre séparateur.</t>
  </si>
  <si>
    <t>Vous verrez un message d'erreur apparaître si vous ne saisissez pas exactement 4 chiffres.</t>
  </si>
  <si>
    <t>Code NACE notifié pour l'année 2007 selon la nomenclature NACE Rév. 1.1:</t>
  </si>
  <si>
    <t>Code NACE notifié pour l'année 2010 selon la nomenclature NACE Rév. 2:</t>
  </si>
  <si>
    <t>Admissibilité au bénéfice de quotas à titre gratuit:</t>
  </si>
  <si>
    <t>L'installation est-elle un producteur d'électricité au sens de l'article 3, point u), de la directive?</t>
  </si>
  <si>
    <t>Aux termes de l'article 3, point u), on entend par «producteur d'électricité, une installation qui, à la date du 1er janvier 2005 ou ultérieurement, a produit de l’électricité destinée à la vente à des tiers et dans laquelle n’a lieu aucune activité énumérée dans l’annexe I, autre que la «combustion de combustibles.</t>
  </si>
  <si>
    <t>Attention: même si vous n'êtes pas producteur d'électricité au sens de la directive, vous ne devez pas déclarer la chaleur ou les combustibles utilisés pour la production d'électricité, La production d'électricité ne donne pas lieu à allocation de quotas gratuits,</t>
  </si>
  <si>
    <t>L'installation est-elle une installation de captage du CO2 ou de transport du CO2 ou encore un site de stockage du CO2?</t>
  </si>
  <si>
    <t>Cette installation est considérée comme relevant de l'article 10 bis, paragraphe 3, de la directive SEQE-UE:</t>
  </si>
  <si>
    <t xml:space="preserve">Si la réponse au point a) ou au point b) est positive, la réponse au point c) est automatiquement positive. </t>
  </si>
  <si>
    <t>L'installation produit-elle de la chaleur?</t>
  </si>
  <si>
    <t>Si aucune donnée supplémentaire n'est introduite, il n'y a pas lieu de procéder à une vérification de la présente déclaration.</t>
  </si>
  <si>
    <t>Demande d'allocation à titre gratuit:</t>
  </si>
  <si>
    <t>Si les réponses aux points a) et b) sont toutes deux négatives ou si la réponse au point d) est positive, l'installation peut être considérée comme admissible au bénéfice de quotas à titre gratuit au titre de l'article 10 bis de la directive SEQE-UE. Si tel est le cas de votre installation, veuillez confirmer ici que vous demandez à bénéficier d'une allocation de quotas à titre gratuit conformément à l'article 10 bis:</t>
  </si>
  <si>
    <t>Remarque importante:</t>
  </si>
  <si>
    <t>Consentement pour l'utilisation des données contenues dans le présent fichier:</t>
  </si>
  <si>
    <t>Installations ne fonctionnant qu'occasionnellement:</t>
  </si>
  <si>
    <t>Il s'agit, entre autres, d'installations de réserve ou de secours et d'installations fonctionnant de façon saisonnière (article 9, paragraphe 8, des CIM).</t>
  </si>
  <si>
    <t>il est clairement démontré que l'installation est utilisée occasionnellement, et en particulier qu'elle est exploitée régulièrement en tant que capacité de réserve ou de secours ou exploitée régulièrement de façon saisonnière;</t>
  </si>
  <si>
    <t xml:space="preserve">l'installation est titulaire d'une autorisation d'exploiter, </t>
  </si>
  <si>
    <t>il est techniquement possible de démarrer l'exploitation à bref délai et la maintenance est effectuée régulièrement.</t>
  </si>
  <si>
    <t>Veuillez confirmer ici que votre installation remplit ces critères:</t>
  </si>
  <si>
    <t>Remarque:</t>
  </si>
  <si>
    <t>Pour chaque type de produit, une seule sous-installation peut être sélectionnée. Les produits similaires répondant à la même définition dans les CIM sont regroupés.</t>
  </si>
  <si>
    <t>La dénomination d'une sous-installation ne doit apparaître qu'une seule fois. Dans le cas contraire, certaines parties de ce modèle ne pourront fonctionner correctement.</t>
  </si>
  <si>
    <t>Non.</t>
  </si>
  <si>
    <t>Exposition au risque de fuite de carbone?</t>
  </si>
  <si>
    <t>Pour chaque type de méthode alternative, il ne peut y avoir au maximum que deux sous-installations, l'une exposée à un risque important de fuite de carbone et l'autre non exposée.</t>
  </si>
  <si>
    <t>Données utilisées pour déterminer la capacité installée initiale conformément à l'article 7, paragraphe 3, de la décision du 27 avril 2011 :</t>
  </si>
  <si>
    <t>Les définitions des différentes sous-installations appliquant une méthode alternative [article 3, points c), d) et h)] doivent être respectées aux fins de la détermination du niveau de production.</t>
  </si>
  <si>
    <t>En particulier, pour les sous-installations avec référentiel de chaleur, il ne faut indiquer que la quantité de chaleur mesurable produite au sein de l'installation ou importée en provenance d'installations couvertes par le SEQE et qui est consommée dans les limites de l'installation pour la fabrication de produits, pour la production d'énergie mécanique autre que celle utilisée aux fins de la production d'électricité, pour le chauffage ou le refroidissement, à l'exclusion de la consommation aux fins de la production d'électricité, ou qui est exportée vers une installation ou une autre entité non couverte par le système de l'Union, à l'exclusion de l'exportation aux fins de la production d'électricité.</t>
  </si>
  <si>
    <t>Données relatives aux volumes de production mensuels les plus élevés ou données d'activité:</t>
  </si>
  <si>
    <t>Indiquez ici pour chaque sous-installation et pour chaque année donnée les deux volumes de production les plus élevés, dans l'unité qui s'affiche automatiquement.</t>
  </si>
  <si>
    <t>Sous-installation</t>
  </si>
  <si>
    <t>Détermination de la capacité installée initiale:</t>
  </si>
  <si>
    <t>Liste des connexions techniques</t>
  </si>
  <si>
    <t>Introduire les informations pertinentes pour l'identification des connexions techniques à votre installation:</t>
  </si>
  <si>
    <t>Ces informations sont nécessaires à l'administration  pour garantir la cohérence des données communiquées et pour éviter tout double comptage dans les données relatives à l'allocation.</t>
  </si>
  <si>
    <t>Seuls sont pertinents les cas dans lesquels la chaleur mesurable, les gaz résiduaires ou le CO2 dans le cadre des activités de CCS (CSC) franchissent les limites de l'installation.</t>
  </si>
  <si>
    <t>On entend ici par «importation" le fait que quelque chose entre dans les limites de l'installation à laquelle se rapporte la présente déclaration et par «exportation" le fait que quelque chose sorte de ces limites.</t>
  </si>
  <si>
    <t>Les flux de matières et/ou d'énergie entre les sous-installations ne sont pas pertinents, à l'exception de la chaleur issue de la production d'acide nitrique.</t>
  </si>
  <si>
    <t>Dans la colonne «Type d'entité", les options suivantes peuvent être sélectionnées:</t>
  </si>
  <si>
    <t>Cas particulier: Production d'acide nitrique</t>
  </si>
  <si>
    <t>Sélectionnez cette option pour indiquer que votre installation utilise de la chaleur issue de la production d'acide nitrique.</t>
  </si>
  <si>
    <t>Veuillez indiquer ce fait même si la production d'acide nitrique fait partie intégrante de votre installation et non uniquement si votre installation est connectée à ce type d'installation.</t>
  </si>
  <si>
    <t>Ces informations sont pertinentes aux fins du bilan thermique (feuille «E_EnergyFlows, section II).</t>
  </si>
  <si>
    <t>Les types de connexions possibles sont les suivants:</t>
  </si>
  <si>
    <t>Les directions des flux sont (du point de vue de l'installation à laquelle la présente déclaration se rapporte):</t>
  </si>
  <si>
    <t>Importation (vers cette installation)</t>
  </si>
  <si>
    <t>Exportation (en provenance de cette installation)</t>
  </si>
  <si>
    <t>Dénomination de l'installation ou de l'entité</t>
  </si>
  <si>
    <t>Type d'entité</t>
  </si>
  <si>
    <t>Type de connexion</t>
  </si>
  <si>
    <t>Direction du flux</t>
  </si>
  <si>
    <t>Veuillez indiquer ici, s'il y a lieu, les informations complémentaires concernant ces installations connectées:</t>
  </si>
  <si>
    <t xml:space="preserve">Pour les entités ne relevant pas du SEQE-UE, les coordonnées doivent être obligatoirement indiquées, </t>
  </si>
  <si>
    <t>Numéro GIDIC de l'installation</t>
  </si>
  <si>
    <t>Nom de la personne à contacter</t>
  </si>
  <si>
    <t>Courrier électronique</t>
  </si>
  <si>
    <t>numéro de téléphone</t>
  </si>
  <si>
    <t>Informations déclarées pour mémoire: Émissions issues de la biomasse</t>
  </si>
  <si>
    <t>D. 
Émissions</t>
  </si>
  <si>
    <t>Émissions et intrant énergétique</t>
  </si>
  <si>
    <t>Attribution des émissions</t>
  </si>
  <si>
    <t>Gaz résiduaires (1)</t>
  </si>
  <si>
    <t>Gaz résiduaires (2)</t>
  </si>
  <si>
    <t>Feuille «Émissions - ATTRIBUTION DES ÉMISSIONS</t>
  </si>
  <si>
    <t>Émissions directes de gaz à effet de serre totales et intrant énergétique total lié aux combustibles</t>
  </si>
  <si>
    <t>Données au niveau de l'installation:</t>
  </si>
  <si>
    <t>Émissions totales de CO2</t>
  </si>
  <si>
    <t>Émissions totales de N2O</t>
  </si>
  <si>
    <t>Émissions totales de PFC</t>
  </si>
  <si>
    <t>Émissions directes totales de l'installation</t>
  </si>
  <si>
    <t>Intrant énergétique total lié aux combustibles</t>
  </si>
  <si>
    <t>Résultat des données au niveau de l'installation à reprendre dans les feuilles «D_Emissions et «E_EnergyFlows:</t>
  </si>
  <si>
    <t>Attribution des émissions aux sous-installations</t>
  </si>
  <si>
    <t>Attribution aux sous-installations</t>
  </si>
  <si>
    <t>La présente section est nécessaire pour déterminer les niveaux d'activité historiques des sous-installations avec émissions de procédé.</t>
  </si>
  <si>
    <t>Méthode de saisie:</t>
  </si>
  <si>
    <t>Vous pouvez introduire les valeurs dans le tableau ci-dessous au point b) suivant l'une ou l'autre des deux options suivantes: «Valeurs absolues (t eq CO2/an) ou «pourcentages.</t>
  </si>
  <si>
    <t>Pour les cas simples, dans lesquels les données correspondent pour la plupart à «100 % ou à zéro, la solution des pourcentages constitue la méthode la plus rapide.</t>
  </si>
  <si>
    <t>Attribution aux sous-installations concernées:</t>
  </si>
  <si>
    <t>Le tableau ci-dessous doit permettre d'attribuer les émissions aux différents types de sous-installations.</t>
  </si>
  <si>
    <t>Cela signifie que 100 % = émissions directes totales de l'installation.</t>
  </si>
  <si>
    <t>Le tableau ne tient pas compte de la distinction établie au regard de l'exposition au risque de fuite de carbone et des différents référentiels de produits.</t>
  </si>
  <si>
    <t>Une distinction est établie entre sous-installations «CL (exposées à un risque important de fuite de carbone) et sous-installations «non-CL (non exposée au risque de fuite de carbone), mais uniquement en ce qui concerne les émissions de procédé.</t>
  </si>
  <si>
    <t>Pour les gaz résiduaires en dehors des limites du système d'un référentiel de produit, le module applicable aux «gaz résiduaires ci-dessous doit être utilisé aux fins du calcul des émissions de procédé.</t>
  </si>
  <si>
    <t>Émissions liées aux référentiels de produits</t>
  </si>
  <si>
    <t>Émissions liées aux sous-installations avec référentiel de chaleur</t>
  </si>
  <si>
    <t>Émissions liées aux sous-installations avec référentiel de combustibles</t>
  </si>
  <si>
    <t>Contrôle: Autres émissions (non admissibles)</t>
  </si>
  <si>
    <t>À des fins de contrôle, les intrants sont affichés ici dans l'unité que vous n'avez pas choisie pour saisir vos données:</t>
  </si>
  <si>
    <t>Gaz résiduaires</t>
  </si>
  <si>
    <t>Aux termes de la définition donnée à l'article 3, paragraphe h, des CIM, les gaz résiduaires (combustibles) qui sont produits hors des limites du système d'un référentiel de produit sont considérés comme des émissions de procédé.</t>
  </si>
  <si>
    <t>Toutefois, pour les gaz résiduaires, il convient de déduire du total des émissions de procédé une quantité de CO2 équivalente à la quantité de gaz naturel utilisée pour le «contenu énergétique techniquement utilisable.</t>
  </si>
  <si>
    <t>On entend par «émissions de procédé non corrigées" la quantité des émissions de procédé sans l'application de cette déduction.</t>
  </si>
  <si>
    <t>Pour déterminer le «contenu énergétique techniquement utilisable, il est nécessaire de disposer des informations suivantes:</t>
  </si>
  <si>
    <t>Quantité de gaz résiduaires utilisée pour la production d'électricité et pour la production de chaleur mesurable ou autre hors des sous-installations avec référentiel de produit, ou exportée hors de l'installation;</t>
  </si>
  <si>
    <t>À titre facultatif (aux fins du contrôle de cohérence), les émissions de procédé associées à ces quantités de gaz résiduaires peuvent faire l'objet d'une déclaration.</t>
  </si>
  <si>
    <t>Pouvoir calorifique inférieur du gaz résiduaire;</t>
  </si>
  <si>
    <t>Hypothèses concernant les différents niveaux de rendement de l'utilisation de gaz résiduaires et de gaz naturel. Ces hypothèses sont les suivantes: le rendement énergétique de la production d'électricité à partir de gaz naturel et de gaz résiduaires s'élève respectivement à 52,5 % et à 35 %;</t>
  </si>
  <si>
    <t>Facteur d'émission du gaz naturel: 56,1 t CO2/TJ.</t>
  </si>
  <si>
    <t>Module de calcul de la quantité des émissions de procédé lorsque les gaz résiduaires sont produits hors des limites du système d'un référentiel de produit</t>
  </si>
  <si>
    <t>La présente section concerne la sous-installation avec émissions de procédé du type suivant:</t>
  </si>
  <si>
    <t>Veuillez sélectionner, parmi les deux types proposés, le type de sous-installation avec émissions de procédé auquel correspondent les données figurant dans ce module.</t>
  </si>
  <si>
    <t>Comme il est possible que les deux types de sous-installation soient concernés au sein d'une même installation ou que différents gaz résiduaires soient produits, le module applicable aux gaz résiduaires figure deux fois dans ce modèle.</t>
  </si>
  <si>
    <t>C'est la production, et non l'utilisation du gaz résiduaire, qui est pertinente pour déterminer le type de sous-installation.</t>
  </si>
  <si>
    <t>Veuillez indiquer si les gaz résiduaires sont pertinents pour cette sous-installation:</t>
  </si>
  <si>
    <t>Type de gaz résiduaire:</t>
  </si>
  <si>
    <t>Veuillez désigner le gaz résiduaire considéré et décrire le procédé dont il est issu. Indiquez ci-dessus la dénomination du flux gazeux et expliquez brièvement ci-dessous le procédé.</t>
  </si>
  <si>
    <t>Si plusieurs gaz résiduaires différents sont pertinents dans votre installation, présentez les données détaillées dans des fichiers séparés à l'aide du présent module.</t>
  </si>
  <si>
    <t>Quantité totale des émissions de procédé avant déduction d'une quantité équivalente pour le contenu énergétique techniquement utilisable:</t>
  </si>
  <si>
    <t>Cette quantité doit cadrer avec le statut relatif au risque de fuite de carbone sélectionné au point b) ci-dessus.</t>
  </si>
  <si>
    <t>Émissions de procédé non corrigées</t>
  </si>
  <si>
    <t>Estimation des émissions de gaz résiduaires</t>
  </si>
  <si>
    <t>À titre facultatif et aux seules fins du contrôle de cohérence, veuillez donner une estimation de la quantité des émissions liées à l'utilisation ou à l'exportation de gaz résiduaires.</t>
  </si>
  <si>
    <t>Cette quantité doit cadrer avec la quantité de gaz résiduaire indiquée au point f) ci-dessous.</t>
  </si>
  <si>
    <t>Émissions issues de gaz résiduaires</t>
  </si>
  <si>
    <t>hors des limites des référentiels de produits</t>
  </si>
  <si>
    <t>Quantité de gaz résiduaire produit hors des limites des sous-installations avec référentiel de produit, y compris pour l'exportation:</t>
  </si>
  <si>
    <t>Seul le gaz résiduaire utilisé pour la production de chaleur ou d'électricité est pertinent. Si le gaz résiduaire est mis en torchère, seule la quantité correspondant à la mise en torchère pour des raisons de sécurité est pertinente.</t>
  </si>
  <si>
    <t>Vous pouvez choisir d'exprimer la quantité en tonnes ou en 1 000 Nm3 (mètres cubes normalisés). Ces unités doivent être cohérentes avec celles retenues pour le pouvoir calorifique inférieur (NCV) indiquées ci-après.</t>
  </si>
  <si>
    <t>Quantité de gaz résiduaire produite par an</t>
  </si>
  <si>
    <t>Pouvoir calorifique inférieur du gaz résiduaire</t>
  </si>
  <si>
    <t>Vous pouvez choisir de l'exprimer soit en GJ/t, soit en GJ/1 000 Nm3. Ces unités doivent être cohérentes avec celles retenues pour les quantités indiquées précédemment.</t>
  </si>
  <si>
    <t>Pouvoir calorifique inférieur</t>
  </si>
  <si>
    <t>Hypothèses nécessaires:</t>
  </si>
  <si>
    <t>Rendement de référence de la production d'électricité:</t>
  </si>
  <si>
    <t>à partir de gaz naturel:</t>
  </si>
  <si>
    <t>à partir de gaz résiduaire:</t>
  </si>
  <si>
    <t>Facteur d'émission pour le gaz naturel:</t>
  </si>
  <si>
    <t>Émissions à déduire pour la prise en compte du contenu énergétique techniquement utilisable:</t>
  </si>
  <si>
    <t>Ces quantités sont automatiquement calculées sur la base des chiffres introduits précédemment. La formule est décrite à la note explicative n° 8.</t>
  </si>
  <si>
    <t>Déduction pour les gaz résiduaires</t>
  </si>
  <si>
    <t>Émissions de procédé calculées en tenant compte de la correction applicable aux gaz résiduaires (=d-i)</t>
  </si>
  <si>
    <t>Il s'agit du résultat final de ce module. Les valeurs qui s'affichent ici doivent être introduites plus haut, à la section D.II.2b), pour la sous-installation correspondante.</t>
  </si>
  <si>
    <t>Les résultats du calcul ne peuvent être considérés comme corrects que si les données déclarées dans les sections ci-dessus sont complètes et cohérentes.</t>
  </si>
  <si>
    <t>Si le résultat est négatif, il est fixé à zéro.</t>
  </si>
  <si>
    <t>Résultat du module applicable aux gaz résiduaires:</t>
  </si>
  <si>
    <t>E. 
Flux d'énergie</t>
  </si>
  <si>
    <t>Attribution des combustibles</t>
  </si>
  <si>
    <t>Chaleur (résultat final)</t>
  </si>
  <si>
    <t xml:space="preserve">Électricité </t>
  </si>
  <si>
    <t xml:space="preserve">Feuille «EnergyFlows - DONNÉES RELATIVES À L'INTRANT ÉNERGÉTIQUE, À LA CHALEUR MESURABLE ET À L'ÉLECTRICITÉ </t>
  </si>
  <si>
    <t>Intrant énergétique lié aux combustibles</t>
  </si>
  <si>
    <t>Vue d'ensemble et division en catégories d'utilisation</t>
  </si>
  <si>
    <t>Intrant énergétique lié aux combustibles, installation complète (à partir des données de la feuille «D_Emissions, section I):</t>
  </si>
  <si>
    <t>Vous pouvez introduire les valeurs dans le tableau ci-dessous au point c) suivant l'une ou l'autre des deux options suivantes: «Valeurs absolues (TJ/an) ou «pourcentages.</t>
  </si>
  <si>
    <t>Répartition de l'apport de combustibles entre les différentes utilisations (valeurs absolues)</t>
  </si>
  <si>
    <t xml:space="preserve">Veuillez introduire dans le tableau ci-dessous la quantité d'énergie consommée pour chaque type d'utilisation ou, selon la méthode de saisie des données choisie au point b), le pourcentage de la quantité indiquée au point a). </t>
  </si>
  <si>
    <t xml:space="preserve">Il convient de veiller en particulier à attribuer l'intrant énergétique aux deux sous-installations pertinentes aux fins de l'allocation: </t>
  </si>
  <si>
    <t>Sous-installation «CL avec référentiel de combustibles (exposée à un risque important de fuite de carbone) et sous-installation «non-CL (non exposée au risque de fuite de carbone).</t>
  </si>
  <si>
    <t>À des fins de contrôle, le solde (100 % moins l'apport total) s'affiche sur la ligne du bas. Il s'agit de l'apport énergétique ne pouvant donner lieu à l'allocation de quotas.</t>
  </si>
  <si>
    <t>Type d'utilisation de l'apport de combustibles</t>
  </si>
  <si>
    <t xml:space="preserve">Apport de combustibles pour la production d'électricité                   </t>
  </si>
  <si>
    <t>Apport de combustibles pour la production de chaleur mesurable</t>
  </si>
  <si>
    <t>Apport de combustibles dans le cadre des référentiels de produits</t>
  </si>
  <si>
    <t>Solde</t>
  </si>
  <si>
    <t>Toutes les données relatives à la chaleur doivent faire référence à la «quantité nette de chaleur mesurable (c'est-à-dire le contenu thermique du flux thermique vers l'utilisateur diminué du contenu thermique du flux de retour).</t>
  </si>
  <si>
    <t>Répartition entre les sous-installations - Méthode de saisie</t>
  </si>
  <si>
    <t>Répartition des sous-installations avec référentiel de chaleur dans les niveaux d'exposition au risque de fuite de carbone:</t>
  </si>
  <si>
    <t>Les données sont automatiquement reprises dans la feuille «G_Fall-back. La saisie de données dans cette position est donc obligatoire lorsque ce module est utilisé.</t>
  </si>
  <si>
    <t>Chiffres de contrôle:</t>
  </si>
  <si>
    <t>Description de la méthode de calcul utilisée:</t>
  </si>
  <si>
    <t>Si les deux types d'apport de chaleur [«admissible (autoproduit et/ou importé d'installations relevant du SEQE) et «non admissible (importé d'installations ne relevant pas du SEQE ou produit par une sous-installation de production d'acide nitrique)] sont pertinents, ET si les deux types d'utilisation de la chaleur [«admissible (utilisation interne et/ou exportation vers des installations ne relevant pas du SEQE) et «non admissible (exportation vers des installations relevant du SEQE)] coexistent, il y a lieu de distinguer les cas admissibles des cas non admissibles.</t>
  </si>
  <si>
    <t>Une hiérarchie des méthodes est proposée aux fins de cette distinction.</t>
  </si>
  <si>
    <t>Lorsque les quantités de chaleur peuvent être clairement différenciées (connexions du réseau de chaleur clairement définies, niveaux de pression de vapeur, etc.), les quantités admissibles et non admissibles de chaleur doivent être déclarées compte tenu de la situation réelle.</t>
  </si>
  <si>
    <t>En cas d'impossibilité, toutes les utilisations doivent être évaluées en fonction du ratio des apports (apport SEQE : apport total), comme indiqué ci-dessus.</t>
  </si>
  <si>
    <t>Dans le cadre du présent modèle, il est fait appel à la méthode progressive suivante:</t>
  </si>
  <si>
    <t>Un bilan séparé de la consommation de chaleur «admissible et «non admissible est établi.</t>
  </si>
  <si>
    <t>Pour la production d'électricité, la consommation de chaleur est répartie en fonction du ratio affiché au point e), à moins que la quantité de chaleur provenant de sources non admissibles ne soit saisie manuellement au point f) iii.</t>
  </si>
  <si>
    <t>Pour les référentiels de produits, la quantité totale de chaleur mesurée doit être indiquée au point g) ci-dessous. La quantité de chaleur «non admissible correspond à la somme des apports de la feuille «F_ProductBM, section d).i, pour chaque sous-installation (voir ci-dessous au point g) ii).</t>
  </si>
  <si>
    <t>Les exportations de chaleur vers des installations relevant du SEQE (section h) ci-dessous) doivent toujours être considérées comme de la chaleur provenant de sources admissibles, car le consommateur de cette chaleur ne disposera pas des informations relatives à l'admissibilité de la chaleur produite en amont. Par conséquent, pour éviter les doublons, la chaleur doit être déduite de la quantité admissible dans cette installation. La quantité doit être limitée au total de chaleur «admissible disponible de l'installation.</t>
  </si>
  <si>
    <t>La quantité consommée au sein de l'installation (à l'exclusion de la consommation aux fins de la production d'électricité et de la consommation des sous-installations avec référentiel de produit) doit être déterminée d'après la quantité de chaleur mesurable restante. La quantité de chaleur «admissible restante à l'issue des étapes précédentes constitue la limite supérieure.</t>
  </si>
  <si>
    <t>Une fois appliquées ces déductions de chaleur à la quantité disponible, un nouveau «ration d'admissibilité est calculé (point j).</t>
  </si>
  <si>
    <t>La quantité admissible restante peut ensuite être attribuée aux deux sous-installations avec référentiel de chaleur. Les pertes de chaleur sont indiquées dans un souci d'exhaustivité.</t>
  </si>
  <si>
    <t>Apports de chaleur</t>
  </si>
  <si>
    <t>Quantité nette totale de chaleur mesurable produite dans l'installation:</t>
  </si>
  <si>
    <t>Veuillez noter que la chaleur produite dans les sous-installations de production d'acide nitrique doit être déclarée au point c) en tant qu'«importation ne relevant pas du SEQE.</t>
  </si>
  <si>
    <t>Chaleur mesurable produite</t>
  </si>
  <si>
    <t xml:space="preserve">Chaleur mesurable importée en provenance d'installations relevant du SEQE-UE: </t>
  </si>
  <si>
    <t>Les dénominations des installations figurant dans la liste déroulante sont reprises de la section A.IV. Assurez-vous donc d'avoir saisi toutes les données requises dans ladite section.</t>
  </si>
  <si>
    <t>Sous-total</t>
  </si>
  <si>
    <t>Chaleur mesurable importée en provenance d'installations et d'entités ne relevant pas du SEQE-UE (non admissible pour le référentiel de chaleur):</t>
  </si>
  <si>
    <t xml:space="preserve">Sont incluses les sous-installations produisant de l'acide nitrique (sélectionner «Au sein de l'installation comme dénomination d'installation, si la production d'acide nitrique fait partie de cette installation). </t>
  </si>
  <si>
    <t>Veuillez noter que les données saisies ici doivent être vérifiées pour éviter tout double comptage avec les déductions appliquées aux sous-installations avec référentiel de produit (voir feuille «ProductBM).</t>
  </si>
  <si>
    <t>Somme de la chaleur mesurable disponible dans l'installation (=a+b+c)</t>
  </si>
  <si>
    <t>Chaleur mesurable totale</t>
  </si>
  <si>
    <t>Ratio «Chaleur SEQE/«Chaleur totale</t>
  </si>
  <si>
    <t>La «chaleur SEQE correspond à la chaleur produite dans l'installation, majorée de la chaleur importée d'installations relevant du SEQE (=a+b).</t>
  </si>
  <si>
    <t xml:space="preserve">La chaleur totale correspond à la chaleur SEQE, majorée de la chaleur importée d'entités et d'installations ne relevant pas du SEQE (=a+b+c). </t>
  </si>
  <si>
    <t>Ratio de l'apport de chaleur (a+b) / (a+b+c):</t>
  </si>
  <si>
    <t>Chaleur ne relevant pas des sous-installations avec référentiel de chaleur</t>
  </si>
  <si>
    <t>Pour pouvoir établir la quantité de chaleur relevant des sous-installations avec référentiel de chaleur, il convient d'abord de déterminer la quantité non admissible à cette fin.</t>
  </si>
  <si>
    <t>Dans un premier temps, il faut évaluer les quantités de chaleur non admissibles à des fins d'utilisation au sein de l'installation.</t>
  </si>
  <si>
    <t xml:space="preserve">Il s'agit de la quantité de chaleur utilisée pour la production d'électricité et de la quantité de chaleur consommée dans les sous-installations avec référentiel de produit. </t>
  </si>
  <si>
    <t>Chaleur mesurable consommée pour la production d'électricité au sein de l'installation (non admissible pour le référentiel de chaleur):</t>
  </si>
  <si>
    <t>Par défaut, on considère que la quantité globale de chaleur utilisée pour la production d'électricité est divisée entre apports admissibles et apports non admissibles sur la base du ratio calculé au point e).</t>
  </si>
  <si>
    <t>Toutefois, si vous disposez d'informations plus précises (du fait, par exemple, qu'il est possible d'établir l'origine de la vapeur sur la base des niveaux de pression, etc.), vous pouvez introduire ci-dessous d'autres quantités de chaleur «non admissible. Si cette quantité est supérieure à la quantité indiquée au point c), la quantité disponible maximale est utilisée pour les calculs suivants.</t>
  </si>
  <si>
    <t>Chaleur utilisée pour la production d'électricité</t>
  </si>
  <si>
    <t>Quantité de chaleur issue de sources ne relevant pas du SEQE</t>
  </si>
  <si>
    <t>Annulation manuelle du point ii)</t>
  </si>
  <si>
    <t>Chaleur mesurable consommée pour les sous-installations avec référentiel de produit au sein de l'installation (non admissible pour le référentiel de chaleur):</t>
  </si>
  <si>
    <t>Conformément à l'article 13 des CIM, l'allocation annuelle provisoire aux sous-installations avec référentiel de produit doit être diminuée d'une quantité d'équivalent CO2 pour la chaleur importée d'installations hors SEQE. Les données nécessaires pour cette correction sont les données introduites dans la section d) de la feuille «F_ProductBM pour chaque sous-installation.</t>
  </si>
  <si>
    <t>Un contrôle de plausibilité de ces données est donc prévu ici.</t>
  </si>
  <si>
    <t>Chaleur consommée dans les sous-installations avec référentiel de produit</t>
  </si>
  <si>
    <t>Valeurs introduites dans la feuille «F_ProductBM:</t>
  </si>
  <si>
    <t>Contrôle de plausibilité:</t>
  </si>
  <si>
    <t>Veillez à contrôler une nouvelle fois cette section après avoir rempli la feuille «F_ProductBM, s'il y a lieu, afin d'éviter la présence de données non plausibles.</t>
  </si>
  <si>
    <t>La méthode recommandée pour remplir cette section consiste à saisir d'abord les données pertinentes dans la feuille «F_ProductBM avant de passer au point h) ci-dessous.</t>
  </si>
  <si>
    <t>Chaleur hors SEQE déclarée dans la feuille «F_ProductBM par rapport à la quantité totale de chaleur pour tous les référentiels de produit:</t>
  </si>
  <si>
    <t>Point ii par rapport au point i:</t>
  </si>
  <si>
    <t>Chaleur hors SEQE déclarée dans la feuille «F_ProductBM par rapport à la quantité totale de chaleur importée d'installations hors SEQE déclarée au point c):</t>
  </si>
  <si>
    <t>Point iii par rapport au point c) ci-dessus:</t>
  </si>
  <si>
    <t>Chaleur exportée vers des installations relevant du SEQE (non admissible pour le référentiel de chaleur):</t>
  </si>
  <si>
    <t>Cette quantité de chaleur est imputée au consommateur de la chaleur.</t>
  </si>
  <si>
    <t>Chaleur totale exportée vers des installations relevant du SEQE</t>
  </si>
  <si>
    <t>Sous-installations avec référentiel de chaleur</t>
  </si>
  <si>
    <t>Sous-total: chaleur mesurable totale restante, susceptible d'être imputable à des sous-installations avec référentiel de chaleur (=d-f-g-h):</t>
  </si>
  <si>
    <t>Sous-total:</t>
  </si>
  <si>
    <t>Cette quantité peut être divisée entre la chaleur «admissible et «non admissible (en fonction de son origine, voir l'introduction de la section II.2).</t>
  </si>
  <si>
    <t>Le facteur défini au point e) est ensuite corrigé en tenant compte de la chaleur admissible et non admissible restante. Ce facteur est utilisé pour le point (I).</t>
  </si>
  <si>
    <t>admissible du fait de son origine:</t>
  </si>
  <si>
    <t>non-admissible du fait de son origine:</t>
  </si>
  <si>
    <t>Ratio d'admissibilité pour la chaleur restante calculée au point i):</t>
  </si>
  <si>
    <t>ratio d'admissibilité corrigé (=(i).ii / (i).i):</t>
  </si>
  <si>
    <t>Quantité nette de chaleur mesurable consommée dans l'installation et admissible pour le référentiel de chaleur:</t>
  </si>
  <si>
    <t>Il s'agit de la consommation au sein de l'installation, à l'exclusion des finalités énoncées aux points f) et g).</t>
  </si>
  <si>
    <t>Chaleur consommée au sein de l'installation</t>
  </si>
  <si>
    <t>Chaleur exportée vers des installations ou entités ne relevant pas du SEQE-UE (par exemple, les réseaux de chauffage urbain):</t>
  </si>
  <si>
    <t>Dénomination de l'entité ou installation réceptrice</t>
  </si>
  <si>
    <t>Chaleur totale exportée vers des installations hors SEQE:</t>
  </si>
  <si>
    <t>Pertes de chaleur (=i-k-l)</t>
  </si>
  <si>
    <t>Pour assurer l'exhaustivité du bilan thermique, ce tableau présente les pertes de chaleur calculées (c'est-à-dire la quantité de chaleur non prise en compte aux points f, g, h, k et l).</t>
  </si>
  <si>
    <t>La présence de valeurs négatives indique que les niveaux de consommation de chaleur déclarés ci-dessus sont supérieurs à la quantité de chaleur disponible provenant de la production et des importations.</t>
  </si>
  <si>
    <t>Pertes de chaleur (calculées)</t>
  </si>
  <si>
    <t>Pertes de chaleur (proportion de la chaleur disponible = d)</t>
  </si>
  <si>
    <t>Quantité totale de chaleur faisant potentiellement partie des sous-installations avec référentiel de chaleur (=k+l):</t>
  </si>
  <si>
    <t>Total des sous-installations avec référentiel de chaleur:</t>
  </si>
  <si>
    <t>Résultat final: Quantité de chaleur imputable aux sous-installations avec référentiel de chaleur</t>
  </si>
  <si>
    <t xml:space="preserve">Ce résultat s'obtient en multipliant le point n) par le ratio d'admissibilité corrigé défini au point j). </t>
  </si>
  <si>
    <t>La valeur maximale autorisée est la quantité admissible indiquée au point i) i.</t>
  </si>
  <si>
    <t>Chaleur admissible pour les sous-installations avec référentiel de chaleur</t>
  </si>
  <si>
    <t>Vous pouvez introduire les valeurs dans le tableau ci-dessous au point q) suivant l'une ou l'autre des deux options suivantes: «Valeurs absolues (TJ/an) ou «pourcentages.</t>
  </si>
  <si>
    <t>Veuillez indiquer ici la quantité de chaleur mesurable consommée par chaque sous-installation, étant entendu que 100 % correspond à la somme calculée au point e).iii. ci-dessus.</t>
  </si>
  <si>
    <t>Sous-installation  «CL avec référentiel de chaleur (exposée à un risque important de fuite de carbone) et sous-installation  «non-CL (non exposée au risque de fuite de carbone).</t>
  </si>
  <si>
    <t>Bilan électrique complet de l'installation</t>
  </si>
  <si>
    <t>Quantité nette totale d'électricité produite dans l'installation:</t>
  </si>
  <si>
    <t>La production électrique autre comprend, par exemple, l'électricité hydraulique, solaire et éolienne, l'électricité produite au moyen de turbines de détente et par d'autres procédés ne relevant pas du SEQE.</t>
  </si>
  <si>
    <t>Électricité nette produite à partir de combustibles</t>
  </si>
  <si>
    <t>Autre électricité produite</t>
  </si>
  <si>
    <t>Électricité totale importée du réseau ou d'autres installations</t>
  </si>
  <si>
    <t>Électricité importée</t>
  </si>
  <si>
    <t>Électricité totale exportée vers le réseau ou vers d'autres installations</t>
  </si>
  <si>
    <t>Électricité exportée</t>
  </si>
  <si>
    <t>Électricité totale disponible utilisable dans l'installation (= a+b-c)</t>
  </si>
  <si>
    <t>Électricité utilisable</t>
  </si>
  <si>
    <t>Électricité totale consommée dans l'installation</t>
  </si>
  <si>
    <t>Électricité consommée dans l'installation</t>
  </si>
  <si>
    <t xml:space="preserve">Contrôle de plausibilité: Somme des apports d'électricité dans la feuille «F_ProductBM pour l'interchangeabilité de l'électricité </t>
  </si>
  <si>
    <t>Électricité déclarée comme interchangeable</t>
  </si>
  <si>
    <t>Comparer avec le point e)</t>
  </si>
  <si>
    <t>F. 
Référentiel de produit</t>
  </si>
  <si>
    <t>Feuille «ProductBM - DONNÉES DE LA SOUS-INSTALLABTION RELATIVES AUX RÉFÉRENTIELS DE PRODUITS</t>
  </si>
  <si>
    <t>Niveaux d'activité historiques et données détaillées concernant la production désagrégée</t>
  </si>
  <si>
    <t>Les «niveaux d'activité principaux, c'est-à-dire les données directement applicables aux fins du calcul de l'allocation, sont à notifier sous ce point.</t>
  </si>
  <si>
    <t xml:space="preserve">Il s'agit généralement des données de production du produit, par exemple des tonnes de clinker de ciment gris ou des tonnes de bouteilles de verre, conformément à l'annexe I des CIM. </t>
  </si>
  <si>
    <t>Niveau d'activité principal:</t>
  </si>
  <si>
    <t>Repris de la feuille «H_SpecialBM:</t>
  </si>
  <si>
    <t>Valeurs utilisées pour le calcul:</t>
  </si>
  <si>
    <t>Obligations de déclaration spécifiques:</t>
  </si>
  <si>
    <t>Certains référentiels de produits nécessitent la déclaration d'informations spécifiques (par exemple, les valeurs CWT). S'il y a lieu, un message apparaîtra automatiquement.</t>
  </si>
  <si>
    <t>Interchangeabilité combustibles/électricité:</t>
  </si>
  <si>
    <t xml:space="preserve"> S'il y a lieu, un message apparaîtra automatiquement pour demander la saisie des informations nécessaires aux fins de la prise en compte de l'interchangeabilité combustibles/électricité.</t>
  </si>
  <si>
    <t>Conformément à l'article 14 dede la décision du 27 avril 2011 , les données suivantes sont nécessaires:</t>
  </si>
  <si>
    <t>Les émissions directes imputées à cette sous-installation;</t>
  </si>
  <si>
    <t>La quantité nette de chaleur [mesurable] importée par cette sous-installation en provenance d'autres installations relevant du SEQE ou d'autres entités;</t>
  </si>
  <si>
    <t>La consommation d'électricité spécifique de cette sous-installation conformément à la définition des procédés figurant à l'annexe I de la décision du 27 avril 2011.</t>
  </si>
  <si>
    <t>Paramètre</t>
  </si>
  <si>
    <t>Consommation d'électricité pertinente</t>
  </si>
  <si>
    <t>Émissions directes totales</t>
  </si>
  <si>
    <t>Émissions indirectes</t>
  </si>
  <si>
    <t>Facteur de correction de l'allocation:</t>
  </si>
  <si>
    <t>Chaleur importée d'installations ou d'entités hors SEQE:</t>
  </si>
  <si>
    <t>Conformément à l'article 13 de la décision, l'allocation annuelle provisoire aux sous-installations avec référentiel de produit doit être diminuée d'une certaine quantité d'émissions.</t>
  </si>
  <si>
    <t>Cette quantité correspond à la quantité de chaleur mesurable importée d'installations ou entités hors SEQE multipliée par le référentiel de chaleur.</t>
  </si>
  <si>
    <t>Contrôle de cohérence avec la feuille «E-Energy flows:</t>
  </si>
  <si>
    <t>Quantité correspondant à la correction de l'allocation:</t>
  </si>
  <si>
    <t>Coefficient d'utilisation de la capacité applicable:</t>
  </si>
  <si>
    <t>Ce coefficient est une valeur sans dimension. Vous pouvez introduire une valeur comprise entre 0 et 1 ou entre 0 % et 100 %. Dans le deuxième cas, Excel traduira les données en chiffres.</t>
  </si>
  <si>
    <t>Début de l'exploitation</t>
  </si>
  <si>
    <t>Informations relatives à la production</t>
  </si>
  <si>
    <t>Identification des produits inclus dans cette sous-installation avec référentiel de produit</t>
  </si>
  <si>
    <t>Un référentiel de produit peut englober plusieurs produits (ou groupes de produits) similaires. Dans certains cas, les produits intermédiaires peuvent être pertinents aux fins de l'allocation de quotas. Les produits pertinents doivent être indiqués ici pour permettre à l'autorité compétente de vérifier si les limites définies pour ce référentiel de produit sont respectées.</t>
  </si>
  <si>
    <t>La liste des codes PRODCOM 2007 peut être consultée à l'adresse suivante:</t>
  </si>
  <si>
    <t>La liste des codes PRODCOM 2010 peut être consultée à l'adresse suivante:</t>
  </si>
  <si>
    <t>Dénomination du produit ou groupe de produits</t>
  </si>
  <si>
    <t>Niveaux de production individuels des produits inclus dans cette sous-installation avec référentiel de produit</t>
  </si>
  <si>
    <t>Somme des niveaux de production</t>
  </si>
  <si>
    <t>G.  
Sous-installations appliquant une méthode alternative</t>
  </si>
  <si>
    <t>Avec référentiel de chaleur, CL</t>
  </si>
  <si>
    <t>Avec référentiel de chaleur, non-CL</t>
  </si>
  <si>
    <t>Avec référentiel de combustibles, CL</t>
  </si>
  <si>
    <t>Avec référentiel de combustibles, non-CL</t>
  </si>
  <si>
    <t>Avec émissions de procédé, CL</t>
  </si>
  <si>
    <t>Avec émissions de procédé, non-CL</t>
  </si>
  <si>
    <t>Feuille «Fall-back - DONNÉES RELATIVES AUX SOUS-INSTALLATIONS APPLIQUANT UNE MÉTHODE ALTERNATIVE</t>
  </si>
  <si>
    <t>Identification des produits ou services pertinents associés à cette sous-installation</t>
  </si>
  <si>
    <t>Veuillez dresser ici la liste des procédés de production ou des services associés à cette sous-installation. Il s'agit notamment des éléments suivants:</t>
  </si>
  <si>
    <t xml:space="preserve">Production de marchandises ne relevant pas des référentiels de produits au sein de l'installation (veuillez indiquer les types de produit); </t>
  </si>
  <si>
    <t>Production d'énergie mécanique, de chaleur ou de refroidissement (toutes finalités à l'exclusion de la production d'électricité);</t>
  </si>
  <si>
    <t>Exportation de chaleur vers des installations ou autres entités (par exemple, des réseaux de chauffage). Dans ce cas, veuillez indiquer, si celle—ci est connue, l'utilisation qui est faite de la chaleur dans cette installation ou entité.</t>
  </si>
  <si>
    <t>Les options sont les suivantes: «Chauffage urbain, «inconnue ou l'indication du procédé de production. Les produits avec référentiels sont également possibles.</t>
  </si>
  <si>
    <t>Veuillez noter que, dans le cas de la chaleur exportée, seuls les types d'utilisation de chaleur qui ne concernent pas les installations relevant du SEQE doivent être déclarés ici.</t>
  </si>
  <si>
    <t xml:space="preserve">Les codes PRODCOM / NACE doivent compter au moins 4 chiffres, un niveau de désagrégation supérieur (c'est-à-dire plus de chiffres) étant souhaitable; le format de saisi est «nnnn ou «nnnnnnnn, sans point ni autre séparateur. Les codes PRODCOM 2007 [utilisés pour établir la liste relative aux risques de fuite de carbone (décision 2010/2/UE) et donc pertinents aux fins de l'annexe I des CIM] sont obligatoires, tandis que les codes PRODCOM 2010 sont facultatifs. </t>
  </si>
  <si>
    <t>Les codes NACE peuvent être utilisés à la place des codes PRODCOM si plusieurs produits similaires du même groupe NACE sont concernés.</t>
  </si>
  <si>
    <t>Les États membres peuvent décider de rendre obligatoire la saisie de ces informations.</t>
  </si>
  <si>
    <t>Type d'utilisation</t>
  </si>
  <si>
    <t>Au sein de l'installation ou exportation?</t>
  </si>
  <si>
    <t>Dénomination du produit ou «chauffage urbain</t>
  </si>
  <si>
    <t>Désagrégation des niveaux de production, s'il y a lieu:</t>
  </si>
  <si>
    <t>Les États membres peuvent demander que soient obligatoirement notifiés les niveaux de production pour chacun des produits visés au point l) ci-dessus. Si c'est le cas dans votre État membre, les cellules ci-dessous qui correspondent à la période de référence que vous avez choisie apparaîtront en jaune vif.</t>
  </si>
  <si>
    <t>H.  
Référentiel particulier</t>
  </si>
  <si>
    <t>Feuille «SpecialBM - DONNÉES PARTICULIÈRES CONCERNANT CERTAINS RÉFÉRENTIELS DE PRODUITS</t>
  </si>
  <si>
    <t>CWT (Produits de raffinerie)</t>
  </si>
  <si>
    <t>Module de calcul des niveaux d'activité historiques applicables aux sous-installations de raffinage</t>
  </si>
  <si>
    <t>Ce module vous aide à déterminer les HAL (niveaux d'activité historiques) pour le référentiel relatif à la raffinerie (annexe III, point 1, des CIM).</t>
  </si>
  <si>
    <t>Pour le référentiel relatif aux produits aromatiques, qui utilise également le CWT, veuillez utiliser le module CWT applicable aux produits aromatiques (section V de la présente feuille).</t>
  </si>
  <si>
    <t>Pertinence de ce module dans votre installation:</t>
  </si>
  <si>
    <t>Données relatives au débit CWT</t>
  </si>
  <si>
    <t>Veuillez introduire ici les données relatives au débit annuel pour chaque fonction CWT.</t>
  </si>
  <si>
    <t>Pour la définition et les limites de chaque fonction CWT, veuillez vous référer à l'annexe II, point 1, des CIM.</t>
  </si>
  <si>
    <t>Pour la base, les abréviations suivantes sont utilisées:</t>
  </si>
  <si>
    <t>Charge fraîche nette</t>
  </si>
  <si>
    <t>Charge du réacteur (y compris recyclage)</t>
  </si>
  <si>
    <t>Produit</t>
  </si>
  <si>
    <t>Production de gaz de synthèse pour un POX (SG)</t>
  </si>
  <si>
    <t>Remarque importante: Conformément à l'annexe II des CIM, l'unité utilisée aux fins de la déclaration est la kilotonne.</t>
  </si>
  <si>
    <t>Fonction CWT</t>
  </si>
  <si>
    <t>Facteur CWT</t>
  </si>
  <si>
    <t>Distillation atmosphérique de pétrole brut</t>
  </si>
  <si>
    <t xml:space="preserve">Distillation sous vide </t>
  </si>
  <si>
    <t xml:space="preserve">Désasphaltage au solvant </t>
  </si>
  <si>
    <t xml:space="preserve">Viscoréduction </t>
  </si>
  <si>
    <t>Craquage thermique</t>
  </si>
  <si>
    <t xml:space="preserve">Cokéfaction retardée </t>
  </si>
  <si>
    <t xml:space="preserve">Cokéfaction fluide </t>
  </si>
  <si>
    <t xml:space="preserve">Calcination du coke </t>
  </si>
  <si>
    <t>Craquage catalytique sur lit fluide</t>
  </si>
  <si>
    <t xml:space="preserve">Autres craquages catalytiques </t>
  </si>
  <si>
    <t xml:space="preserve">Hydrocraquage de distillats/gasoil </t>
  </si>
  <si>
    <t xml:space="preserve">Hydrocraquage de résidus </t>
  </si>
  <si>
    <t>Hydrotraitement de naphta et essences</t>
  </si>
  <si>
    <t xml:space="preserve">Hydrotraitement de gazole ou kérosène </t>
  </si>
  <si>
    <t xml:space="preserve">Hydrotraitement de résidus </t>
  </si>
  <si>
    <t>Hydrotraitement de distillats sous vide (VGO)</t>
  </si>
  <si>
    <t xml:space="preserve">Production d'hydrogène </t>
  </si>
  <si>
    <t>Réformage catalytique</t>
  </si>
  <si>
    <t>Isomérisation de C4</t>
  </si>
  <si>
    <t>Isomérisation de C5/C6</t>
  </si>
  <si>
    <t xml:space="preserve">Production d'oxygénés </t>
  </si>
  <si>
    <t xml:space="preserve">Production de propylène </t>
  </si>
  <si>
    <t>Production de bitumes</t>
  </si>
  <si>
    <t>Mélange de bitumes modifiés aux polymères</t>
  </si>
  <si>
    <t>Récupération du soufre</t>
  </si>
  <si>
    <t>Extraction d'aromatiques au moyen de solvants</t>
  </si>
  <si>
    <t>Hydrodésalkylation</t>
  </si>
  <si>
    <t>Production de cyclohexane</t>
  </si>
  <si>
    <t>Isomérisation de xylène</t>
  </si>
  <si>
    <t>Production de paraxylène</t>
  </si>
  <si>
    <t>Production de métaxylène</t>
  </si>
  <si>
    <t>Production d'anhydride phtalique</t>
  </si>
  <si>
    <t>Production d'anhydride maléique</t>
  </si>
  <si>
    <t>Production d'éthylbenzène</t>
  </si>
  <si>
    <t>Production de cumène</t>
  </si>
  <si>
    <t>Production de phénol</t>
  </si>
  <si>
    <t>Extraction des lubrifiants au solvant</t>
  </si>
  <si>
    <t>Déparaffinage des lubrifiants au solvant</t>
  </si>
  <si>
    <t>Isomérisation catalytique des paraffines</t>
  </si>
  <si>
    <t xml:space="preserve">Hydrocraquage pour production de lubrifiants </t>
  </si>
  <si>
    <t xml:space="preserve">Déshuilage des paraffines </t>
  </si>
  <si>
    <t xml:space="preserve">Hydrotraitement des lubrifiants et paraffines </t>
  </si>
  <si>
    <t>Hydrotraitement des solvants</t>
  </si>
  <si>
    <t>Fractionnement des solvants</t>
  </si>
  <si>
    <t>Tamisage moléculaire pour les paraffines C10+</t>
  </si>
  <si>
    <t>Oxydation partielle (POX) de résidus pour la production de combustibles</t>
  </si>
  <si>
    <t>Oxydation partielle de résidus (POX) pour la production d'hydrogène ou méthanol</t>
  </si>
  <si>
    <t>Méthanol à partir de gaz de synthèse</t>
  </si>
  <si>
    <t>Séparation de l'air</t>
  </si>
  <si>
    <t>Fractionnement de LGN achetés</t>
  </si>
  <si>
    <t>Traitement des fumées</t>
  </si>
  <si>
    <t>Traitement et compression de gaz de raffinage pour le vendre</t>
  </si>
  <si>
    <t>Désalinisation d'eau de mer</t>
  </si>
  <si>
    <t>Résultat: Niveaux d'activité pour le référentiel relatif à la raffinerie, exprimés en CWT</t>
  </si>
  <si>
    <t>Ici, le niveau d'activité pour la raffinerie est calculé au moyen de la formule énoncée à l'annexe III, point 1, des CIM (avant détermination de la valeur médiane).</t>
  </si>
  <si>
    <t>Remarque importante: La déclaration ci-dessus utilise comme unité la kilotonne, mais le référentiel est exprimé en t CO2/CWT, où CWT est exprimé en tonnes.</t>
  </si>
  <si>
    <t>Par conséquent, les résultats ci-dessous sont multipliés par un facteur 1 000, ce qui n'est pas mentionné explicitement à l'annexe III, point 1, des CIM.</t>
  </si>
  <si>
    <t>Niveau d'activité pour la raffinerie</t>
  </si>
  <si>
    <t>Module de calcul des niveaux d'activité historiques applicables aux sous-installations destinées à la production de chaux</t>
  </si>
  <si>
    <t>Ce module vous aide à déterminer les HAL (niveaux d'activité historiques) pour le référentiel de produit relatif à la chaux (annexe III, point 2, des CIM).</t>
  </si>
  <si>
    <t>Production de chaux non corrigée:</t>
  </si>
  <si>
    <t>Veuillez saisir ici les données relatives à la production annuelle, exprimée en tonnes de chaux, sans correction des données sur la composition:</t>
  </si>
  <si>
    <t>production de chaux non corrigée</t>
  </si>
  <si>
    <t>Données sur la composition:</t>
  </si>
  <si>
    <t>Conformément à l'annexe III, point 2, des CIM, les données ci-après sont requises:</t>
  </si>
  <si>
    <t>teneur en CaO libre de la chaux produite pour chaque année de la période de référence, exprimée en % massique</t>
  </si>
  <si>
    <t>En l'absence de données concernant la teneur en CaO libre, on utilisera une estimation prudente qui ne doit pas être inférieure à 85%.</t>
  </si>
  <si>
    <t>teneur en MgO libre de la chaux produite pour chaque année de la période de référence, exprimée en % massique</t>
  </si>
  <si>
    <t>En l'absence de données concernant la teneur en MgO libre, on utilisera une estimation prudente qui ne doit pas être inférieure à 0,5%.</t>
  </si>
  <si>
    <t>Teneur en CaO</t>
  </si>
  <si>
    <t>Teneur en MgO</t>
  </si>
  <si>
    <t>Résultat: Niveaux d'activité pour la chaux exprimé en chaux pure standard</t>
  </si>
  <si>
    <t>Ici, le niveau d'activité corrigé pour la chaux est calculé au moyen de la formule énoncée à l'annexe III, point 2, des CIM (avant détermination de la valeur médiane).</t>
  </si>
  <si>
    <t>Production de chaux pure standard</t>
  </si>
  <si>
    <t>Module de calcul des niveaux d'activité historiques applicables aux sous-installations de production de dolomie</t>
  </si>
  <si>
    <t>Ce module vous aide à déterminer les HAL (niveaux d'activité historiques) pour le référentiel de produit relatif à la dolomie (Annexe III, point 3, des CIM). Il ne doit pas être appliqué à la dolomie frittée</t>
  </si>
  <si>
    <t>Production de dolomie non corrigée:</t>
  </si>
  <si>
    <t>Veuillez saisir ici les données relatives à la production annuelle, exprimée en tonnes de dolomie, sans correction des données sur la composition:</t>
  </si>
  <si>
    <t>production de dolomie non corrigée</t>
  </si>
  <si>
    <t>Conformément à l'annexe III, point 3, des CIM, les données ci-après sont requises:</t>
  </si>
  <si>
    <t>teneur en CaO libre de la dolomie produite pour chaque année de la période de référence, exprimée en % massique</t>
  </si>
  <si>
    <t>En l'absence de données concernant la teneur en CaO libre, on utilisera une estimation prudente qui ne doit pas être inférieure à 52%.</t>
  </si>
  <si>
    <t>teneur en MgO libre de la dolomie produite pour chaque année de la période de référence, exprimée en % massique</t>
  </si>
  <si>
    <t>En l'absence de données concernant la teneur en MgO libre, on utilisera une estimation prudente qui ne doit pas être inférieure à 33%.</t>
  </si>
  <si>
    <t>Résultat: Niveaux d'activité pour la dolomie, exprimés en dolomie pure standard</t>
  </si>
  <si>
    <t>Ici, le niveau d'activité corrigé pour la dolomie est calculé au moyen de la formule énoncée à l'annexe III, point 3, des CIM (avant détermination de la valeur médiane).</t>
  </si>
  <si>
    <t>production de dolomie pure standard</t>
  </si>
  <si>
    <t>Module de calcul des niveaux d'activité historiques applicables aux sous-installations de vapocraquage</t>
  </si>
  <si>
    <t>Ce module vous aide à déterminer les HAL (niveaux d'activité historiques) pour le référentiel relatif au vapocraquage (annexe III, point 4, des CIM).</t>
  </si>
  <si>
    <t>Production totale de produits chimiques à haute valeur ajoutée (total HVC)</t>
  </si>
  <si>
    <t>Veuillez saisir ici les données relatives à la production annuelle, exprimée en tonnes de HVC (sans correction)</t>
  </si>
  <si>
    <t>Total HVC</t>
  </si>
  <si>
    <t>Données relatives à la charge d'appoint:</t>
  </si>
  <si>
    <t>Conformément à l'annexe III, point 4, des CIM, les données ci-après sont requises:</t>
  </si>
  <si>
    <t>charge d'appoint historique d'hydrogène pour chaque année de la période de référence, exprimée en tonnes d'hydrogène</t>
  </si>
  <si>
    <t>charge d'appoint historique d'éthylène pour chaque année de la période de référence, exprimée en tonnes d'éthylène</t>
  </si>
  <si>
    <t>charge d'appoint historique de produits chimiques à haute valeur ajoutée autres que l'hydrogène et l'éthylène pour chaque année de la période de référence, exprimée en tonnes de HVC</t>
  </si>
  <si>
    <t>Charge d'appoint</t>
  </si>
  <si>
    <t>Éthylène</t>
  </si>
  <si>
    <t>Autres HVC</t>
  </si>
  <si>
    <t>Résultat: Niveaux d'activité pour la quantité nette de HVC</t>
  </si>
  <si>
    <t>Ici, le niveau d'activité corrigé (quantité nette de HVC) est calculé au moyen de la formule énoncée à l'annexe III, point 4, des CIM (avant détermination de la valeur médiane).</t>
  </si>
  <si>
    <t>Niveaux de production net pour les HVC</t>
  </si>
  <si>
    <t>Module applicable au vapocraquage, partie 2: Allocation provisoire (article 11 des CIM)</t>
  </si>
  <si>
    <t>Ce module vous aide à déterminer l'allocation provisoire destinée à la sous-installation de vapocraquage (article 11 des CIM).</t>
  </si>
  <si>
    <t>Il calcule la quantité à ajouter à l'allocation annuelle provisoire après correction consécutive à la prise en compte de l'interchangeabilité de l'électricité.</t>
  </si>
  <si>
    <t>Production à partir de la charge d'appoint:</t>
  </si>
  <si>
    <t>Production à partir de la charge d'appoint</t>
  </si>
  <si>
    <t>Facteur multiplicateur  
(t CO2/t)</t>
  </si>
  <si>
    <t>Résultat: Quantité à ajouter à l'allocation provisoire totale destinée à la sous-installation de vapocraquage:</t>
  </si>
  <si>
    <t>Calcul basé sur la formule énoncée à l'article 11 des CIM.</t>
  </si>
  <si>
    <t>CWT (Aromatiques)</t>
  </si>
  <si>
    <t>Module de calcul des niveaux d'activité historiques pour les sous-installations de production d'aromatiques</t>
  </si>
  <si>
    <t>Ce module vous aide à déterminer les HAL (niveaux d'activité historiques) pour le référentiel relatif aux produits aromatiques (Annexe III, point 5, des CIM).</t>
  </si>
  <si>
    <t>Pour le référentiel relatif à la raffinerie, qui utilise également le CWT, veuillez utiliser le module CWT applicable à la raffinerie ci-dessus (section I de la présente feuille).</t>
  </si>
  <si>
    <t>Pour la définition et les limites de chaque fonction CWT, veuillez vous référer à l'annexe II, point 2, des CIM.</t>
  </si>
  <si>
    <t>Résultat: Niveaux d'activité pour le référentiel relatif aux aromatiques, exprimés en CWT</t>
  </si>
  <si>
    <t>Ici, le niveau d'activité pour les produits aromatiques est calculé au moyen de la formule énoncée à l'annexe III, point 5, des CIM (avant détermination de la valeur médiane).</t>
  </si>
  <si>
    <t>Remarque importante: La déclaration utilise comme unité la kilotonne, mais le référentiel est exprimé en t CO2/CWT, où CWT est exprimé en tonnes.</t>
  </si>
  <si>
    <t>Par conséquent, les résultats ci-dessous sont multipliés par un facteur 1 000, ce qui n'est pas mentionné explicitement à l'annexe III, point 5, des CIM.</t>
  </si>
  <si>
    <t>Niveau d'activité pour les produits aromatiques</t>
  </si>
  <si>
    <t>Module de calcul des niveaux d'activité historiques pour les sous-installations de production d'hydrogène</t>
  </si>
  <si>
    <t>Ce module vous aide à déterminer les HAL (niveaux d'activité historiques) pour le référentiel relatif à l'hydrogène (Annexe III, point 6, des CIM).</t>
  </si>
  <si>
    <t>Veuillez noter que les pourcentages pour la teneur en hydrogène doivent être exprimés en % volumique.</t>
  </si>
  <si>
    <t>Volume de la production totale d'hydrogène (non corrigé)</t>
  </si>
  <si>
    <t>Veuillez saisir ici les données relatives à la production annuelle d'hydrogène ramenée à la teneur historique en hydrogène pour chaque année de la période de référence.</t>
  </si>
  <si>
    <t>Étant donné la longueur excessive des nombres exprimés en m3, il est préférable de formuler les valeurs en milliers de Nm3 (mètres cubes normalisés à 0 C et 101,325 kPa).</t>
  </si>
  <si>
    <t>Production totale d'hydrogène</t>
  </si>
  <si>
    <t>Fraction volumique d'hydrogène VF(H2)</t>
  </si>
  <si>
    <t>Veuillez saisir ici les données relatives à la fraction volumique d'hydrogène pur dans la production historique pour chaque année de la période de référence. Il s'agit d'une valeur sans dimension.</t>
  </si>
  <si>
    <t xml:space="preserve">La valeur 95 % peut être exprimée selon l'une ou l'autre des deux formes suivantes: «0,95 ou «95 %. </t>
  </si>
  <si>
    <t>Fraction volumique d'hydrogène</t>
  </si>
  <si>
    <t>Résultat: Niveaux d'activité pour l'hydrogène exprimés en tonnes de H2 à 100 %.</t>
  </si>
  <si>
    <t>Ici, le niveau d'activité corrigé (100 % d'hydrogène) est calculé au moyen de la formule énoncée à l'annexe III, point 6, des CIM (avant détermination de la valeur médiane).</t>
  </si>
  <si>
    <t>Si la formule aboutit à une valeur négative, celle-ci est remplacée par zéro.</t>
  </si>
  <si>
    <t>Hydrogène (ramené à 100% de H2 pur)</t>
  </si>
  <si>
    <t>Module de calcul des niveaux d'activité historiques pour les sous-installations de production de gaz de synthèse</t>
  </si>
  <si>
    <t>Ce module vous aide à déterminer les HAL (niveaux d'activité historiques) pour le référentiel relatif aux gaz de synthèse (Annexe III, point 7, des CIM).</t>
  </si>
  <si>
    <t>Volume de la production totale de gaz de synthèse (non corrigé)</t>
  </si>
  <si>
    <t>Veuillez saisir ici les données relatives à la production annuelle de gaz de synthèse ramenée à la teneur historique en hydrogène pour chaque année de la période de référence.</t>
  </si>
  <si>
    <t>Production totale de gaz de synthèse</t>
  </si>
  <si>
    <t xml:space="preserve">La valeur 50 % peut être exprimée selon l'une ou l'autre des deux formes suivantes: «0,50 ou «50 %. </t>
  </si>
  <si>
    <t>Résultat: Niveaux d'activité pour les gaz de synthèse, exprimés en tonnes d'hydrogène à 47 %</t>
  </si>
  <si>
    <t>Ici, le niveau d'activité corrigé (ramené à 47% de H2) est calculé au moyen de la formule énoncée à l'annexe III, point 7, des CIM (avant détermination de la valeur médiane).</t>
  </si>
  <si>
    <t>Gaz de synthèse (teneur en hydrogène de 47%)</t>
  </si>
  <si>
    <t>Module de calcul des niveaux d'activité historiques pour les sous-installations de production d'oxyde d'éthylène/éthylène glycols</t>
  </si>
  <si>
    <t>Ce module vous aide à déterminer les HAL (niveaux d'activité historiques) pour le référentiel relatif à l'oxyde d'éthylène/éthylène glycols (Annexe III, point 8, des CIM).</t>
  </si>
  <si>
    <t>Données relatives à la production d'oxyde d'éthylène/éthylène glycols:</t>
  </si>
  <si>
    <t>Veuillez saisir ici les données relatives à la production annuelle des différents produits relevant de ce référentiel de produit pour chaque année de la période de référence.</t>
  </si>
  <si>
    <t>Le tableau présente également les valeurs des CF(EOE) utilisés pour le calcul. Le CF(EOE) est le facteur de conversion pour chaque substance rapporté à l'oxyde d'éthylène.</t>
  </si>
  <si>
    <t>Oxyde d'éthylène</t>
  </si>
  <si>
    <t>Monoéthylène glycol</t>
  </si>
  <si>
    <t>Diéthylène glycol</t>
  </si>
  <si>
    <t>Triéthylène glycol</t>
  </si>
  <si>
    <t>Somme des produits</t>
  </si>
  <si>
    <t>Résultat: Niveaux d'activité pour la sous-installation avec référentiel de produit relatif à l'oxyde d'éthylène/éthylène glycols:</t>
  </si>
  <si>
    <t>Le niveau d'activité historique exprimé en tonnes équivalent oxyde d'éthylène est calculé au moyen de la formule énoncée à l'annexe III, point 8, des CIM.</t>
  </si>
  <si>
    <t>Total équivalents oxyde d'éthylène</t>
  </si>
  <si>
    <t>Chlorure de vinyle monomère (CVM)</t>
  </si>
  <si>
    <t>Module pour le chlorure de vinyle monomère: Allocation provisoire (article 12 des CIM)</t>
  </si>
  <si>
    <t>Ce module vous aide à déterminer l'allocation provisoire pour la sous-installation de production de vinyle monomère («CVM) (article 12 des CIM).</t>
  </si>
  <si>
    <t>Les données ci-après sont exigées:</t>
  </si>
  <si>
    <t>Niveaux d'activité déclarés à la section a) de la feuille «ProductBM pour la sous-installation concernée;</t>
  </si>
  <si>
    <t>Quantité nette de chaleur [mesurable] importée par cette sous-installation en provenance d'autres installations relevant du SEQE;</t>
  </si>
  <si>
    <t>Émissions liées à l'hydrogène: consommation de chaleur historique liée à la combustion d'hydrogène, multipliée par 56,1 t CO2/TJ.</t>
  </si>
  <si>
    <t>Données relatives aux émissions:</t>
  </si>
  <si>
    <t>Veuillez introduire ici les données demandées comme indiqué ci-dessus.</t>
  </si>
  <si>
    <t>Émissions liées à l'hydrogène</t>
  </si>
  <si>
    <t>I.  
Données spécifiquement exigées par l'État membre</t>
  </si>
  <si>
    <t>Feuille «Msspecific - RENSEIGNEMENTS SUPPLÉMENTAIRES EXIGÉS PAR L'ÉTAT MEMBRE</t>
  </si>
  <si>
    <t>À définir par l'État membre</t>
  </si>
  <si>
    <t>J.  
Remarques</t>
  </si>
  <si>
    <t>Feuille «Remarques - REMARQUES ET INFORMATIONS SUPPLÉMENTAIRES</t>
  </si>
  <si>
    <t>Documents étayant cette déclaration</t>
  </si>
  <si>
    <t>Veuillez dresser ici la liste de tous les documents annexés à cette déclaration</t>
  </si>
  <si>
    <t>Des documents supplémentaires devront être présentés pour étayer cette déclaration. Dans la mesure du possible, veillez à les transmettre sous format électronique.</t>
  </si>
  <si>
    <t>Vous pouvez utiliser les formats suivants: Microsoft Word, Excel, ou Adobe Acrobat.</t>
  </si>
  <si>
    <t>Si nécessaire, demandez à l'autorité compétente dont vous relevez si d'autres formats que ceux mentionnés ci-dessus sont acceptés.</t>
  </si>
  <si>
    <t xml:space="preserve">Les documents supplémentaires fournis doivent être clairement référencés, et les noms de fichiers ou numéros de référence doivent être indiqués ci-après. </t>
  </si>
  <si>
    <t xml:space="preserve">Il est recommandé d'éviter de fournir des informations non pertinentes, car cela peut ralentir l'approbation de cette déclaration. </t>
  </si>
  <si>
    <t>Veuillez indiquer ci-dessous le(s) nom(s) de fichier(s) (s'il s'agit de documents électroniques) ou le(s) numéro(s) de référence du/des document(s) (s'il s'agit de documents sur support papier):</t>
  </si>
  <si>
    <t>Nom de fichier/Référence</t>
  </si>
  <si>
    <t>Description du document</t>
  </si>
  <si>
    <t>Informations complémentaires de tout ordre</t>
  </si>
  <si>
    <t>Indiquez dans l'espace ci-dessous tous les renseignements que vous n'avez pu introduire dans les autres feuilles et qui présentent un intérêt pour l'autorité compétente</t>
  </si>
  <si>
    <t>K. 
Résumé</t>
  </si>
  <si>
    <t>Données relatives à l'installation</t>
  </si>
  <si>
    <t>Émissions et flux d'énergie</t>
  </si>
  <si>
    <t>Données relatives aux sous-installations</t>
  </si>
  <si>
    <t>Allocation provisoire</t>
  </si>
  <si>
    <t>Feuille «Résumé - APERCU DES DONNÉES FONDAMENTALES</t>
  </si>
  <si>
    <t>Identificateur d'installation</t>
  </si>
  <si>
    <t>État membre:</t>
  </si>
  <si>
    <t>Vérificateur (société):</t>
  </si>
  <si>
    <t>Intégrée dans le SEQE auparavant:</t>
  </si>
  <si>
    <t>Installation en place:</t>
  </si>
  <si>
    <t>Date du début de l'exploitation:</t>
  </si>
  <si>
    <t>Code NACE en 2007 (NACE rév. 1.1)</t>
  </si>
  <si>
    <t>Code d'identification utilisé dans l'EPRTR:</t>
  </si>
  <si>
    <t>Code NACE en 2010 (NACE rév. 2)</t>
  </si>
  <si>
    <t>Dénomination de la connexion</t>
  </si>
  <si>
    <t>Code d'identification utilisé dans le CITL, le cas échéant</t>
  </si>
  <si>
    <t>Admissibilité au bénéfice de l'allocation gratuite quotas d'émission (section A.II.1):</t>
  </si>
  <si>
    <t>Producteur d'électricité:</t>
  </si>
  <si>
    <t>Installation CCS (CSC):</t>
  </si>
  <si>
    <t>Installation relevant de l'article 10 bis, paragraphe 3, de la directive SEQE-UE:</t>
  </si>
  <si>
    <t>L'installation produit de la chaleur:</t>
  </si>
  <si>
    <t>L'installation peut prétendre à l'allocation gratuite de quotas au titre de l'article 10 bis de la directive SEQE-UE:</t>
  </si>
  <si>
    <t>Remarque: La réponse par défaut à la question concernant l'admissibilité n'est «vrai» que si les conditions suivantes sont remplies:</t>
  </si>
  <si>
    <t>L'installation n'est ni un producteur d'électricité, ni une installation CCS (CSC); ou</t>
  </si>
  <si>
    <t>L'installation est soit un producteur d'électricité soit une installation CCS (CSC) ET elle produit de la chaleur</t>
  </si>
  <si>
    <t>L'exploitant a confirmé qu'il sollicitait l'allocation de quotas à titre gratuit (Section A.II.1.f).</t>
  </si>
  <si>
    <t>L'exploitant a confirmé que l'autorité compétente et la Commission européenne pouvaient utiliser les données contenues dans cette déclaration (Section A.II.1.g).</t>
  </si>
  <si>
    <t>Les valeurs correspondant à l'allocation provisoire ne s'affichent ci-dessous à la section V que si la réponse à cette condition d'admissibilité est «vrai».</t>
  </si>
  <si>
    <t>En activité occasionnellement:</t>
  </si>
  <si>
    <t>Données résultant des entrées effectuées dans les feuilles B et C («Source streams) ou du résumé des émissions (section D.I)</t>
  </si>
  <si>
    <t>Attribution des émissions aux sous-installations (section D.II)</t>
  </si>
  <si>
    <t>Calcul des gaz résiduaires (gaz résiduaires ne relevant pas de référentiels de produits) – Section D.III</t>
  </si>
  <si>
    <t>Prévision de rendement de la production d'électricité:</t>
  </si>
  <si>
    <t>Intrant énergétique lié aux combustibles – réparti entre différentes catégories d'utilisation (Section E.I)</t>
  </si>
  <si>
    <t>Calcul de la chaleur mesurable (Section E.II)</t>
  </si>
  <si>
    <t>Valeurs saisies dans la feuille «F_ProductBM comme provenant de sources ne relevant pas du SEQE:</t>
  </si>
  <si>
    <t>Données relatives à l'électricité</t>
  </si>
  <si>
    <t>Données relatives à la sous-installation et pertinentes aux fins de l'allocation</t>
  </si>
  <si>
    <t>Ici, seules les données nécessaires au calcul sont affichées.  Il ne faut introduire des valeurs que pour les années de référence sélectionnées. Si l'article 9, paragraphe 6, s'applique, aucune donnée d'activité n'apparaît pour les années de référence. Si aucune modification significative n'a été déclarée, aucune donnée à ce sujet n'apparaît, etc.</t>
  </si>
  <si>
    <t>Les abréviations suivantes sont utilisées dans les tableaux ci-dessous:</t>
  </si>
  <si>
    <t>Exposition CL</t>
  </si>
  <si>
    <t>Exposition au risque de fuite de carbone «Vrai si la sous-installation est utilisée pour un secteur considéré comme exposé à un risque important de fuite de carbone.</t>
  </si>
  <si>
    <t>N° BM (référentiel)</t>
  </si>
  <si>
    <t>Numéro du référentiel de produit</t>
  </si>
  <si>
    <t>Valeur du BM (référentiel)</t>
  </si>
  <si>
    <t>Valeur du référentiel de produit conformément à l'annexe I des CIM</t>
  </si>
  <si>
    <t>L'interchangeabilité électricité/chaleur est-elle pertinente pour cette sous-installation?</t>
  </si>
  <si>
    <t>Niveau d'activité historique (HAL) total calculé sur la base de la valeur médiane de la période de référence et de l'application de l'article 9, paragraphes 6 et 9, s'il y a lieu.</t>
  </si>
  <si>
    <t>Élément de calcul pour la prise en compte de l'interchangeabilité électricité/chaleur conformément à l'article 14 des CIM</t>
  </si>
  <si>
    <t>chaleur hors SEQE</t>
  </si>
  <si>
    <t>Quantité à déduire du nombre annuel provisoire de quotas d'émission conformément à l'article 13 des CIM</t>
  </si>
  <si>
    <t>Quantité à ajouter au nombre annuel provisoire de quotas d'émission alloués aux sous-installations de vapocraquage conformément à l'article 11 des CIM</t>
  </si>
  <si>
    <t>Élément de calcul pour la prise en compte des émissions liées à l'hydrogène dans les sous-installations de production de chlorure de vinyle monomère conformément à l'article 12 des CIM</t>
  </si>
  <si>
    <t>Facteurs particuliers:</t>
  </si>
  <si>
    <t xml:space="preserve">N° FB (fall-back) </t>
  </si>
  <si>
    <t>Valeur du référentiel ou facteur</t>
  </si>
  <si>
    <t xml:space="preserve">Facteur de fuite de carbone </t>
  </si>
  <si>
    <t>Ménages privés</t>
  </si>
  <si>
    <t>Quantité finale prévue de quotas d'émission alloués à titre gratuit, donnée à titre indicatif:</t>
  </si>
  <si>
    <t>Facteur linéaire</t>
  </si>
  <si>
    <t>Les résultats affichés ici ne sont en aucun cas juridiquement contraignants. Veuillez vous référer à la clause de non-responsabilité qui figure dans l'introduction de cette section</t>
  </si>
  <si>
    <t>Dans le menu Outils/Options, sous l'onglet Calcul, cocher «automatique».</t>
  </si>
  <si>
    <t>Croatie</t>
  </si>
  <si>
    <t xml:space="preserve">L'exploitant de l'installation confirme que l'installation ne remplit pas les conditions d'allocation de quotas à titre gratuit conformément à l'article 10 bis de la directive SEQE-UE. </t>
  </si>
  <si>
    <t>L'exploitant de l'installation confirme qu'une demande de modification de la quantité de quotas alloués à titre gratuit est introduite conformément à l'article 10 bis de la directive SEQE-UE.</t>
  </si>
  <si>
    <t>Formulaire de demande de modification des quantités allouées à titre gratuit</t>
  </si>
  <si>
    <r>
      <t>La directive 2003/87/CE, modifiée en dernier lieu par la directive 2009/29/CE (ci-après la «directive SEQE-UE»), dispose que l'allocation par les États membres de quotas d'émission à titre gratuit aux installations doit s'effectuer sur la base de règles pleinement harmonisées à l’échelle communautaire (article 10 </t>
    </r>
    <r>
      <rPr>
        <i/>
        <sz val="10"/>
        <color indexed="62"/>
        <rFont val="Arial"/>
        <family val="2"/>
      </rPr>
      <t>bis</t>
    </r>
    <r>
      <rPr>
        <sz val="10"/>
        <color indexed="62"/>
        <rFont val="Arial"/>
        <family val="2"/>
      </rPr>
      <t>, paragraphe 1). Cette directive peut être téléchargée à partir de l'adresse suivante:</t>
    </r>
  </si>
  <si>
    <t xml:space="preserve">Ces mesures d'exécution à l'échelle communautaire (ci-après «les CIM»), publiées sous la forme de la décision 2011/278/UE de la Commission, peuvent être téléchargées à partir de l'adresse suivante:   </t>
  </si>
  <si>
    <t xml:space="preserve">http://eur-lex.europa.eu/LexUriServ/LexUriServ.do?uri=CONSLEG:2011D0278:20111117:FR:PDF </t>
  </si>
  <si>
    <t>Les CIM renferment des règles relatives à l'allocation aux nouveaux entrants de quotas à titre gratuit et à la modification des quantités allouées à titre gratuit en cas de modification significative de la capacité, de cessation ou de cessation partielle des activités d'une installation.</t>
  </si>
  <si>
    <r>
      <t>Le sigle «RNE utilisé dans ce modèle désigne la réserve destinée aux nouveaux entrants établie conformément à l'article 10 </t>
    </r>
    <r>
      <rPr>
        <i/>
        <sz val="10"/>
        <color indexed="62"/>
        <rFont val="Arial"/>
        <family val="2"/>
      </rPr>
      <t>bis</t>
    </r>
    <r>
      <rPr>
        <sz val="10"/>
        <color indexed="62"/>
        <rFont val="Arial"/>
        <family val="2"/>
      </rPr>
      <t>, paragraphe 7, de la directive SEQE-UE.</t>
    </r>
  </si>
  <si>
    <t>Les États membres sont tenus de communiquer à la Commission toutes les informations pertinentes nécessaires au calcul des allocations provisoires à titre gratuit qu'ils auront recueillies auprès des exploitants des installations. L'article 24, paragraphe 2, des CIM dispose que les États membres doivent utiliser à cet effet un modèle électronique fourni par la Commission. Le présent modèle a été établi de telle sorte que l'autorité compétente puisse également l'utiliser pour collecter les données pertinentes auprès des exploitants.</t>
  </si>
  <si>
    <t xml:space="preserve">Le présent modèle a été établi pour la Commission par son consultant (Umweltbundesamt GmbH, Autriche).
Les opinions exprimées dans ce fichier sont celles des auteurs et ne reflètent pas nécessairement la position de la Commission européenne. </t>
  </si>
  <si>
    <t>Le présent document est la version finale de ce modèle et a été approuvé par le comité des changements climatiques lors de sa réunion du 7 juin 2012.</t>
  </si>
  <si>
    <t>Il est particulièrement important de remplir, sur la feuille «A_InstallationData», les rubriques III à V. La présence d'informations incorrectes pourrait fausser les calculs ou empêcher la bonne saisie des données relatives aux sous-installations.</t>
  </si>
  <si>
    <t xml:space="preserve">Guides et modèles publiés par la Commission concernant les règles d'allocation: </t>
  </si>
  <si>
    <t>Type de «modification»</t>
  </si>
  <si>
    <t>Cessation des activités</t>
  </si>
  <si>
    <t>Allocation initiale</t>
  </si>
  <si>
    <t>Présente demande</t>
  </si>
  <si>
    <t>Capacité installée initiale</t>
  </si>
  <si>
    <t>Feuille «InstallationData» - INFORMATIONS GÉNÉRALES RELATIVES À LA PRÉSENTE DEMANDE</t>
  </si>
  <si>
    <t>Par «État membre» il faut entendre les États participant au SEQE de l'UE, à savoir l'UE-27, la Croatie,  l'Islande, la Norvège et le Liechtenstein.</t>
  </si>
  <si>
    <t>Il s'agit généralement du code d'identification utilisé (le cas échéant) pour le PNA II (plan national d'allocation de quotas) ou pour les NIM (mesures d'exécution nationales), ou de tout autre code d'identification utilisé par l'autorité compétente à des fins de correspondance.</t>
  </si>
  <si>
    <t>Pour les nouvelles installations (les installations en site vierge), il est demandé aux exploitants de prendre contact avec l'autorité compétente pour obtenir ce code d'identification.</t>
  </si>
  <si>
    <t>Pour les nouvelles installations (les installations en site vierge), il se peut que ce code d'identification ne soit pas encore disponible. Dans ce cas, ce champ est facultatif. Il est demandé aux exploitants de prendre contact avec l'autorité compétente pour obtenir ce code d'identification.</t>
  </si>
  <si>
    <t>Informations relatives à la présente demande</t>
  </si>
  <si>
    <t>Types de changement:</t>
  </si>
  <si>
    <t>L'installation a-t-elle été intégrée dans les mesures d'exécution nationales (NIM)?</t>
  </si>
  <si>
    <t>Veuillez indiquer «VRAI» si l'installation figure dans la liste des installations établie par l'autorité compétente conformément à l'article 11 de la directive SEQE-UE. Si tel est le cas, cela signifie que l'autorité compétente considère cette installation comme une installation en place, au sens de l'article 3, point a), des CIM, même si l'allocation initiale à titre gratuit était égale à zéro.</t>
  </si>
  <si>
    <t>L'installation est-elle une installation en site vierge?</t>
  </si>
  <si>
    <t>Une installation est considérée comme une installation en site vierge si le présent modèle de demande est utilisé pour une première demande d'allocation à titre gratuit, c'est-à-dire si l'installation ne figure pas dans les NIM et n'a pas notifié dans le passé de modification significative de la capacité.</t>
  </si>
  <si>
    <t>Si l'installation est une installation en site vierge, le point c) ci-après n'est pas pertinent.</t>
  </si>
  <si>
    <t>Types de modifications d'allocation pertinents pour la présente demande</t>
  </si>
  <si>
    <t>Veuillez indiquer ici le(s) type(s) de modification d'allocation pour le(s)quel(s) vous introduisez une demande.</t>
  </si>
  <si>
    <t>Les trois types de modification d'allocation possibles sont les suivants:</t>
  </si>
  <si>
    <t>Veuillez noter que si l'installation dans son ensemble a cessé ses activités, aucun des deux autres types de modification d'allocation ne peut être considéré comme pertinent et traité dans le cadre de la présente demande.</t>
  </si>
  <si>
    <t>Veuillez noter qu'en cas de modifications significatives et de cessations partielles concomitantes, celles-ci peuvent faire l'objet d'une seule et même demande.</t>
  </si>
  <si>
    <t xml:space="preserve">La saisie de données dans ce champ entraînera l'application de formats conditionnels qui guideront l'utilisateur tout au long du document. </t>
  </si>
  <si>
    <t>Feuilles et rubriques pertinentes dans le présent modèle</t>
  </si>
  <si>
    <t>Selon les données saisies, certaines autres rubriques peuvent devenir non pertinentes et apparaître en grisé.</t>
  </si>
  <si>
    <t>Remarque importante: Si le présent modèle est utilisé pour notifier des modifications significatives de la capacité, les réponses aux questions de la présente rubrique doivent se référer à la situation POSTÉRIEURE à ces modifications significatives de la capacité.</t>
  </si>
  <si>
    <t>Veuillez noter que la réponse indiquée ici n'aura d'incidence sur la demande en cours que dans le cas d'une demande de réduction significative de capacité.</t>
  </si>
  <si>
    <r>
      <t>Les données contenues dans le présent fichier seront utilisées par l'autorité compétente pour déterminer la quantité de quotas à allouer à titre gratuit conformément à l'article 10 </t>
    </r>
    <r>
      <rPr>
        <b/>
        <sz val="10"/>
        <color indexed="62"/>
        <rFont val="Arial"/>
        <family val="2"/>
      </rPr>
      <t>bis</t>
    </r>
    <r>
      <rPr>
        <b/>
        <i/>
        <sz val="10"/>
        <color indexed="62"/>
        <rFont val="Arial"/>
        <family val="2"/>
      </rPr>
      <t xml:space="preserve"> de la directive SEQE-UE ou toute autre modification apportée à la quantité fixée dans le cadre de décisions d'allocation précédentes. De plus, ces données seront notifiées à la Commission européenne en partie ou en totalité, conformément à l'article 24, paragraphe 2, des CIM.</t>
    </r>
  </si>
  <si>
    <t>Vérificateur responsable des données communiquées dans la présente demande:</t>
  </si>
  <si>
    <t>Si la présente demande ne concerne pas une modification significative de la capacité ni une installation en site vierge mais uniquement une cessation des activités au sens de l'article 22 ou une cessation partielle d'activité au sens de l'article 23, il n'est pas nécessaire de recourir aux services d'un vérificateur.</t>
  </si>
  <si>
    <t>Nom et adresse du vérificateur:</t>
  </si>
  <si>
    <t>La présente rubrique du modèle doit être utilisée pour notifier qu'une installation a cessé (totalement) ses activités.</t>
  </si>
  <si>
    <t xml:space="preserve">Aux termes de l'article 22, paragraphe 1, des CIM: «Une installation est réputée avoir cessé ses activités lorsque l’une quelconque des conditions suivantes est remplie: </t>
  </si>
  <si>
    <t>l’autorisation d’émettre des gaz à effet de serre, l’autorisation en vigueur conformément à la directive 2008/1/CE ou toute autre autorisation environnementale pertinente est arrivée à expiration;</t>
  </si>
  <si>
    <t>les autorisations visées au point a) ont été retirées;</t>
  </si>
  <si>
    <t>l’exploitation de l’installation est techniquement impossible;</t>
  </si>
  <si>
    <t>l’installation n’est pas en activité, mais l’a été précédemment, et la reprise des activités est techniquement impossible;</t>
  </si>
  <si>
    <t>l’installation n’est pas en activité, mais l’a été précédemment, et l’exploitant n’est pas en mesure d’établir que l’exploitation reprendra dans les six mois suivant la cessation des activités. Les États membres peuvent étendre cette période à dix-huit mois maximum si l’exploitant peut établir que l’installation n’est pas en mesure de reprendre ses activités dans les six mois en raison de circonstances exceptionnelles et imprévisibles que même le déploiement de toute la diligence requise n’aurait pas permis d’éviter et qui échappent au contrôle de l’exploitant de l’installation concernée, en raison notamment de circonstances telles que les catastrophes naturelles, les conflits armés, les menaces de conflit armé, les actes de terrorisme, les révolutions, les émeutes, les actes de sabotage ou les actes de vandalisme.</t>
  </si>
  <si>
    <t>Cela signifie qu'en règle générale, une installation qui, pour des raisons techniques ou légales, ne fonctionne plus comme installation relevant du SEQE et n'est pas en mesure de reprendre ses activités dans un délai de six mois est réputée avoir cessé ses activités.</t>
  </si>
  <si>
    <t>Sont incluses les installations qui n'entrent plus dans le champ d'application du SEQE. Conformément à l'article 2, paragraphe 2, des CIM, le point e) ne s'applique pas aux installations qui sont des installations de réserve ou de secours et aux installations qui sont exploitées de manière saisonnière. Ces installations ne sont pas réputées avoir cessé leurs activités.</t>
  </si>
  <si>
    <t>L'installation a-t-elle cessé ses activités?</t>
  </si>
  <si>
    <t>Quand l'installation a-t-elle cessé ses activités?</t>
  </si>
  <si>
    <r>
      <t>Si l'installation a cessé ses activités, indiquez ici l'année civile de la cessation des activités</t>
    </r>
    <r>
      <rPr>
        <i/>
        <sz val="8"/>
        <rFont val="Arial"/>
        <family val="2"/>
      </rPr>
      <t>.</t>
    </r>
  </si>
  <si>
    <t>Pourquoi l'installation a-t-elle cessé ses activités?</t>
  </si>
  <si>
    <t>Si l'installation a cessé ses activités, indiquez-en ici la raison (parmi celles énumérées aux points a) à e) de la liste ci-dessus).</t>
  </si>
  <si>
    <t>Veuillez noter que le point e) ne s'applique pas aux installations de réserve ou de secours fonctionnant de façon saisonnière.</t>
  </si>
  <si>
    <t xml:space="preserve">Veuillez indiquer quelle autorisation a expiré ou a été retirée: </t>
  </si>
  <si>
    <t>Cette information n'est pertinente que si vous avez sélectionné la raison a) ou b) ci-dessus.</t>
  </si>
  <si>
    <t>Confirmation de la cessation des activités</t>
  </si>
  <si>
    <t>Conformément à l'article 22, paragraphe 3, des CIM, lorsqu'une installation a cessé ses activités, l'État membre concerné ne lui délivre plus de quotas d'émission à compter de l'année suivant la cessation des activités. Si l'installation entre dans le champ d'application de cette disposition, veuillez le confirmer ici:</t>
  </si>
  <si>
    <t>Si l'installation a cessé ses activités, il n'y a pas lieu de communiquer d'autres données détaillées dans les feuilles suivantes. Seule la rubrique A.VI de la présente feuille («InstallationData») doit obligatoirement être remplie.</t>
  </si>
  <si>
    <t>Si l'installation devait reprendre ses activités, elle serait alors considérée comme un nouvel entrant. À titre exceptionnel uniquement, l'État membre pourra interpréter cette longue interruption comme une «cessation partielle plutôt que d'octroyer une allocation de nouvel entrant.</t>
  </si>
  <si>
    <t>La présente rubrique est utilisée pour indiquer la situation des quotas alloués à l'installation avant la présente demande introduite par l'intermédiaire de ce fichier. Sont nécessaires les données suivantes (le cas échéant):</t>
  </si>
  <si>
    <t>les quotas  alloués dans le cadre des NIM, à indiquer à la rubrique A.III.1 suivante;</t>
  </si>
  <si>
    <t>une liste chronologique de toutes les modifications d'allocation effectuées avant la présente demande (A.III.2);</t>
  </si>
  <si>
    <t>les quotas alloués aux nouveaux entrants (installations en site vierge et extensions significatives de la capacité), à indiquer à la rubrique A.III.3 suivante;</t>
  </si>
  <si>
    <t>les réductions d'allocation consécutives à des réductions significatives de la capacité, à indiquer également à la rubrique A.III.3 suivante.</t>
  </si>
  <si>
    <t>les modifications apportées à la quantité de quotas alloués à titre gratuit à la suite de cessations partielles d'activité et de reprises des activités après cessations partielles, à indiquer à la rubrique A.III.4 ci-dessous.</t>
  </si>
  <si>
    <t>Allocation finale à titre gratuit calculée pour les installations en place</t>
  </si>
  <si>
    <t xml:space="preserve">Veuillez indiquer ici, pour chaque sous-installation, la quantité de quotas alloués sur la base de la collecte des données de référence effectuée, conformément à l'article 7 des CIM, dans votre État membre aux fins des mesures d'exécution nationales (NIM), en vertu de l'article 11, paragraphe 1, de la directive SEQE-UE. </t>
  </si>
  <si>
    <t>Les quantités à indiquer dans ce champ doivent correspondre à la quantité totale finale de quotas alloués à titre gratuit conformément à l'article 10, paragraphe 9, des CIM, à savoir les valeurs de  l'allocation corrigées, selon le cas, du facteur linéaire ou du facteur de correction transsectoriel. Les valeurs doivent être reprises de la rubrique K.V.2.c du rapport sur la collecte des données de référence prévues par les NIM, pour autant que l'autorité compétente ait approuvé ces données et que la Commission européenne ait publié le facteur de correction uniforme transsectoriel devant figurer au point K.V.2.b de ce fichier.</t>
  </si>
  <si>
    <t xml:space="preserve">Remarque: Les données saisies ici ne sont pertinentes que pour les installations définies à l'article 3, point a), des CIM. </t>
  </si>
  <si>
    <t>Historique des «modifications» de l'allocation après le 30 juin 2011</t>
  </si>
  <si>
    <t>La présente rubrique a un caractère obligatoire pour:</t>
  </si>
  <si>
    <t>les installations en place qui ont déjà notifié, avant la présente demande, des modifications significatives et dont le début de l'exploitation modifiée est postérieur au 30 juin 2011,</t>
  </si>
  <si>
    <t>les installations qui ne sont pas des installations en place mais qui ont déjà notifié, avant la présente demande, un début d'exploitation normale après le 30 juin 2011,</t>
  </si>
  <si>
    <t>toutes les installations qui ont déjà notifié, avant la présente demande, une cessation partielle ou une reprise des activités après cessation partielle.</t>
  </si>
  <si>
    <t>Veuillez noter que les «modifications pertinentes aux fins de la présente demande ne doivent pas figurer dans la présente rubrique.</t>
  </si>
  <si>
    <t>Veuillez indiquer, le cas échéant, par ordre chronologique, toutes les sous-installations auxquelles l'une quelconque des situations suivantes s'applique et pour lesquelles des demandes de modification de l'allocation ont été approuvées par l'autorité compétente avant la présente demande:</t>
  </si>
  <si>
    <t>première sous-installation d'une installation en site vierge (veuillez noter que l'allocation ne sera possible que si l'installation n'est pas une installation en place et qu'elle ne visera qu'une seule sous-installation);</t>
  </si>
  <si>
    <t>extension significative de capacité;</t>
  </si>
  <si>
    <t>réduction significative de capacité;</t>
  </si>
  <si>
    <t>cessation partielle;</t>
  </si>
  <si>
    <t>reprise après cessation partielle.</t>
  </si>
  <si>
    <t>Dans la colonne «date de début, indiquer la date de «début de l'exploitation normale, au sens de l'article 3, point n), pour la première sous-installation des installations en site vierge ou la date de «début de l'exploitation modifiée», au sens de l'article 3, point o), pour les modifications significatives de la capacité. En cas de cessation partielle ou de reprise des activités, il n'est pas nécessaire d'introduire de date.</t>
  </si>
  <si>
    <t>Type de «modification</t>
  </si>
  <si>
    <t>Date de début</t>
  </si>
  <si>
    <t>message d'erreur</t>
  </si>
  <si>
    <t>Modifications des quantités de quotas alloués à titre gratuit à la suite de modifications significatives de la capacité, ainsi qu'aux nouveaux entrants (installations en site vierge)</t>
  </si>
  <si>
    <t>Veuillez indiquer dans le tableau ci-dessous les modifications d'allocation qui ont été approuvées par l'autorité compétente pour les modifications de la capacité énumérées à la rubrique A.III.2 ci-dessus. N'introduire de données que dans les cas suivants:</t>
  </si>
  <si>
    <t>première sous-installation d'une installation en site vierge;</t>
  </si>
  <si>
    <t>Les valeurs à indiquer doivent correspondre à l'allocation finale ajoutée ou réduite et non pas à la nouvelle allocation totale. Ainsi, si une sous-installation a reçu 10 000 quotas au titre des NIM et 2 000 quotas supplémentaires à la suite d'une extension significative de sa capacité, il convient d'inscrire les 2 000 quotas dans le tableau ci-dessous. Si la capacité est diminuée de manière significative, par exemple de 4 000 quotas par an, cet élément doit figurer sous la forme «- 4 000» dans le tableau.</t>
  </si>
  <si>
    <t>Dans le cas d'une première sous-installation d'une installation en site vierge ou de nouvelles sous-installations, l'allocation finale ajoutée équivaut à l'allocation totale pour la sous-installation considérée.</t>
  </si>
  <si>
    <t>Par «allocation finale il faut entendre la valeur des quotas alloués après application, selon le cas, du facteur linéaire ou du facteur de correction transsectoriel.</t>
  </si>
  <si>
    <t>Les valeurs doivent être indiquées pour chacune des années. Les valeurs demandées figurent dans la feuille «K_Summary», à la rubrique K.V.2.a des demandes précédentes (sous réserve de l'accord de l'autorité compétente).</t>
  </si>
  <si>
    <t>Facteurs d'ajustement appliqués pour les cessations partielles et pour les reprises après cessation partielle</t>
  </si>
  <si>
    <t>La présente rubrique est obligatoire pour toutes les installations qui ont déjà notifié, avant la présente demande, une cessation partielle ou une reprise des activités après cessation partielle.</t>
  </si>
  <si>
    <t xml:space="preserve">Veuillez indiquer dans le tableau ci-dessous, pour toutes les cessations partielles et reprises après cessation partielle énumérées à la rubrique A.III.2 ci-dessus, le facteur d'ajustement approprié à appliquer pour chaque année. </t>
  </si>
  <si>
    <t>Veuillez noter que plusieurs modifications s'appliquent à une même sous-installation, toutes les valeurs doivent figurer sur la même ligne du tableau.</t>
  </si>
  <si>
    <t>Les valeurs demandées figurent dans la feuille «K_Summary», à la rubrique K.V.2.b des demandes précédentes (sous réserve de l'accord de l'autorité compétente).</t>
  </si>
  <si>
    <t>Description de la présente demande</t>
  </si>
  <si>
    <t>Liste des sous-installations visées par la présente demande</t>
  </si>
  <si>
    <t>Veuillez indiquer dans cette rubrique les sous-installations de votre installation qui sont visées par cette demande. Les nouvelles sous-installations aussi peuvent être mentionnées. Lorsque des sous-installations sont supprimées, il convient de choisir «réduction significative de capacité.</t>
  </si>
  <si>
    <t>Dans la dernière colonne, indiquer le type de «modification» visé par la présente demande. Lorsqu'aucune modification n'est pertinente pour une sous-installation, sélectionner «aucune».</t>
  </si>
  <si>
    <t>Si l'installation est une installation en site vierge, veuillez indiquer dans la dernière colonne laquelle des sous-installations est la première à débuter une exploitation normale.  Si plusieurs sous-installations débutent le même jour, veuillez choisir l'une d'entre elles.</t>
  </si>
  <si>
    <t>Si vous notifiez des modifications significatives de la capacité, vous devez indiquer la capacité modifiée dans les rubriques appropriées des feuilles C, F et G, selon le cas. Si vous notifiez des cessations partielles ou des reprises d'activité après cessation partielle, seules les données des rubriques appropriées de la feuille B doivent être complétées.</t>
  </si>
  <si>
    <t>Les règles suivantes s'appliquent pour la définition des sous-installations:</t>
  </si>
  <si>
    <t xml:space="preserve">Clause de non-responsabilité: la position relative à l'exposition au risque de fuite de carbone se fonde sur la décision 2010/2/UE de la Commission, modifiée par la décision 2011/745/UE. On peut s'attendre à ce que cette décision soit modifiée à l'avenir. </t>
  </si>
  <si>
    <t>Veuillez noter que l'exactitude des données de cette rubrique est essentielle pour la suite de la saisie des données relatives aux sous-installations.</t>
  </si>
  <si>
    <t>Nouvelles sous-installations pertinentes?</t>
  </si>
  <si>
    <t>Veuillez indiquer dans ce champ si d'autres sous-installations que celles déjà mentionnées à la rubrique A.III sont pertinentes aux fins de la présente demande.</t>
  </si>
  <si>
    <t>Dans le cas des installations en site vierge, toutes les sous-installations sont de nouvelles sous-installations.</t>
  </si>
  <si>
    <t>Pour les installations existantes, les nouvelles sous-installations sont le résultat d'une modification physique. Le fait de choisir une nouvelle sous-installation signifie qu'une sous-installation devient pertinente alors qu'elle ne l'était pas pour l'installation avant la présente demande.</t>
  </si>
  <si>
    <t>Sous-installations de l'installation pertinentes au moment de la présente demande</t>
  </si>
  <si>
    <t xml:space="preserve">La première colonne verte reprend automatiquement les sous-installations mentionnées à la rubrique A.III. Les nouvelles sous-installations doivent être sélectionnées dans la colonne «Nouvelle sous-installation». </t>
  </si>
  <si>
    <t xml:space="preserve">Les positions 1 à 10 sont réservées sous-installations avec référentiels de produits. Les sous-installations appliquant une méthode alternative portent les numéros 11 à 16.  </t>
  </si>
  <si>
    <t>Pour les nouvelles sous-installations, il convient d'indiquer comme type de modification «extension significative de la capacité ou «première sous-installation d'une installation en site vierge, selon le cas.</t>
  </si>
  <si>
    <t>Pour les installations en site vierge, veuillez sélectionner la «première sous-installation» dans laquelle l'exploitation normale a débuté. Si plusieurs installations ont débuté l'exploitation à la même date, veuillez n'en sélectionner qu'une et considérer les autres comme une extension significative de la capacité.</t>
  </si>
  <si>
    <t>Veuillez noter que si vous demandez des réductions significatives de la capacité, vous devez indiquer le statut de producteur d'électricité visé au point II.1 ci-dessus.</t>
  </si>
  <si>
    <t>Pour la définition des différents types de modification et de leurs critères d'application, veuillez vous référer au document d'orientation n° 7 publié par la Commission.</t>
  </si>
  <si>
    <t>Nouvelle sous-installation</t>
  </si>
  <si>
    <t>Sous-installations existantes</t>
  </si>
  <si>
    <t>Type de modification</t>
  </si>
  <si>
    <t>Détermination de la capacité installée initiale</t>
  </si>
  <si>
    <t>Veuillez indiquer ici pour chaque sous-installation la capacité installée initiale, le cas échéant, dans l'unité qui s'affiche automatiquement.</t>
  </si>
  <si>
    <t>La capacité installée initiale est nécessaire pour le calcul du niveau d'activité applicable de la sous-installation modifiée/nouvelle sous-installation, niveau indispensable pour le calcul de l'allocation à titre gratuit à cette sous-installation.</t>
  </si>
  <si>
    <t>La capacité installée initiale est la capacité installée la plus récente que l'autorité compétente a approuvée avant la modification significative de la capacité pertinente aux fins de la présente demande. Cela peut être l'une des options suivantes:</t>
  </si>
  <si>
    <t>La capacité a été notifiée pour les NIM; par la suite, aucune modification significative de la capacité n'a été approuvée par l'autorité compétente. Les options sont les suivantes:</t>
  </si>
  <si>
    <t>NIM 2005-2008: la capacité installée a été communiquée selon la méthode standard, c'est-à-dire comme la moyenne des deux niveaux d'activité mensuels les plus élevés pour les années 2005 à 2008.</t>
  </si>
  <si>
    <t>Vérification expérimentale NIM: la capacité installée a été déterminée par «vérification expérimentale».</t>
  </si>
  <si>
    <t>Article 9, paragraphe 6, NIM: l'installation a été en activité moins de deux ans durant la période de référence. La capacité installée a été déterminée conformément à l'article 9, paragraphe 6, des CIM.</t>
  </si>
  <si>
    <t>Article 9, paragraphe 9, NIM: L'installation a été soumise à des modifications significatives de la capacité entre le 1.1.2005 et le 30.6.2011. La capacité installée à communiquer est la dernière capacité installée utilisée pour le calcul de l'allocation conformément à l'article 9, paragraphe 9, des CIM.</t>
  </si>
  <si>
    <t>La capacité a été approuvée par l'autorité compétente à la suite d'une demande précédente, mais à une date ultérieure à la date d'approbation dans les NIM.  L'option suivante peut être sélectionnée:</t>
  </si>
  <si>
    <t>Dernière modification  Article 17, paragraphe 4</t>
  </si>
  <si>
    <t>La sous-installation est nouvelle. Pour éviter des erreurs de calcul, la capacité installée initiale doit toujours être fixée à zéro.  Veuillez sélectionner l'option suivante:</t>
  </si>
  <si>
    <t>Remarques:</t>
  </si>
  <si>
    <t>Dans le cas où de nouvelles sous-installations ont été déclarées à la rubrique IV ci-dessus, la capacité initiale de ces sous-installations doit être établie à zéro; la nouvelle sous-installation sera considérée comme une extension significative de la capacité. Pour la première sous-installation qui débuter l'exploitation normale, la capacité installée initiale sera reprise des données saisies dans les feuilles F ou G.</t>
  </si>
  <si>
    <t>La saisie de données dans le champ suivant est facultative pour les sous-installations avec référentiel de produit mais obligatoire pour les sous-installations appliquant une méthode alternative, si les conditions suivantes sont réunies:</t>
  </si>
  <si>
    <t>la capacité installée initiale n'a pas été communiquée pour la demande dans le cadre des NIM,</t>
  </si>
  <si>
    <t>la capacité installée initiale n'a été communiquée pour aucune des demandes précédentes introduites après le 30 juin 2011,</t>
  </si>
  <si>
    <t>la sous-installation appliquant une méthode alternative n'est pas une nouvelle sous-installation, car elle faisait partie intégrante de l'installation avant la présente demande.</t>
  </si>
  <si>
    <t>Si vous n'avez saisi aucune donnée au point a) ci-dessus ou si les données saisies ne correspondent pas à la capacité la plus récente, c'est-à-dire si la capacité n'est pas fondée sur la période 2005-2008, il est obligatoire de saisir des données dans les champs dont le fond apparaît en jaune.  Pour d'autres indications, voir la description ci-dessus.</t>
  </si>
  <si>
    <t>La façon dont la capacité installée initiale a été déterminée doit être indiquée dans la colonne «source de capacité, selon les méthodes énoncées précédemment.</t>
  </si>
  <si>
    <t>capacité</t>
  </si>
  <si>
    <t>utilisée</t>
  </si>
  <si>
    <t>Source de capacité</t>
  </si>
  <si>
    <r>
      <t>Le code d'identification de l'installation est obligatoire si l'installation connectée relève du SEQE-UE</t>
    </r>
    <r>
      <rPr>
        <i/>
        <sz val="8"/>
        <rFont val="Arial"/>
        <family val="2"/>
      </rPr>
      <t>.</t>
    </r>
  </si>
  <si>
    <t>B. Cessation partielle</t>
  </si>
  <si>
    <t>Feuille «PartialCessation» - Facteurs d'ajustement pour la cessation partielle</t>
  </si>
  <si>
    <t>La présente feuille est utilisée pour la saisie des données relatives aux sous-installations qui ont partiellement cessé leurs activités ou qui les ont reprises après une cessation partielle.</t>
  </si>
  <si>
    <t>Si ces situations ne sont pas pertinentes pour la présente demande, veuillez passer directement à la feuille suivante.</t>
  </si>
  <si>
    <t>Détermination des facteurs d'ajustement</t>
  </si>
  <si>
    <t>Sous-installation:</t>
  </si>
  <si>
    <r>
      <t>Conformément à l'article 23, paragraphe 1, des CIM, une installation est réputée avoir cessé partiellement ses activités lorsque, durant une année civile donnée, une de ses sous-installations contribuant pour au moins 30 % à la quantité annuelle finale de quotas d’émission alloués à titre gratuit à l’installation, ou donnant lieu à l’allocation de plus de 50 000 quotas, diminue son niveau d’activité d’au moins 50</t>
    </r>
    <r>
      <rPr>
        <sz val="11"/>
        <color indexed="62"/>
        <rFont val="Calibri"/>
        <family val="2"/>
      </rPr>
      <t> </t>
    </r>
    <r>
      <rPr>
        <i/>
        <sz val="8"/>
        <color indexed="62"/>
        <rFont val="Arial"/>
        <family val="2"/>
      </rPr>
      <t>% par rapport au niveau d’activité utilisé pour calculer l’allocation de cette sous-installation conformément à l’article 9 ou, le cas échéant, à l’article 18 (ci-après «niveau d’activité initial).</t>
    </r>
  </si>
  <si>
    <t>En l'absence de cessation partielle pertinente, passer à la feuille suivante.</t>
  </si>
  <si>
    <t>Si seules des cessations partielles sont pertinentes, c'est-à-dire si aucune modification significative de la capacité n'a été observée, vous ne devez remplir que la présente feuille et pouvez ensuite passer au résumé (Summary).</t>
  </si>
  <si>
    <t>Année civile durant laquelle la sous-installation a partiellement cessé ses activités ou a repris ses activités après une cessation partielle:</t>
  </si>
  <si>
    <t xml:space="preserve">Il y a cessation partielle lorsque, durant une année civile donnée, la sous-installation considérée a diminué son niveau d'activité annuel d'au moins 50, 75 ou 90 % par rapport au niveau d'activité [initial].  Après une cessation partielle, il y a reprise des activités d'une sous-installation si ces niveaux ne sont plus dépassés. </t>
  </si>
  <si>
    <t>Dans ce champ doit figurer l'année civile durant laquelle les niveaux pertinents ont été dépassés/n'ont plus été dépassés, c'est-à-dire l'année avant laquelle l'ajustement de l'allocation de quotas à titre gratuit doit avoir lieu.</t>
  </si>
  <si>
    <t>Vérification visant à déterminer si la sous-installation satisfait aux critères de pertinence:</t>
  </si>
  <si>
    <t>Il n'y a cessation partielle que si, durant l'année civile indiquée au point a) ci-dessus, la sous-installation concernée contribue pour au moins 30 % à la quantité annuelle finale de quotas d’émission alloués à titre gratuit à l’installation OU donne lieu à l’allocation de plus de 50 000 quotas.</t>
  </si>
  <si>
    <t xml:space="preserve">Comme la contribution d'une sous-installation à l'allocation de quotas à une installation peut changer au fil des ans, les données requises au point a) sont nécessaires pour vérifier si l'un de ces deux critères est satisfait. </t>
  </si>
  <si>
    <t xml:space="preserve">Vérification: critère des 30 % / 50 000 quotas </t>
  </si>
  <si>
    <t>Quantité totale finale de quotas d'émission alloués à l'installation</t>
  </si>
  <si>
    <t>Historique des modifications du niveau d'activité</t>
  </si>
  <si>
    <t>Par «niveau d'activité initial il faut entendre le niveau d'activité utilisé pour calculer les quotas à allouer à la sous-installation conformément à l'article 9 des CIM ou, le cas échéant, à l'article 18 des CIM.  Il s'agit du niveau d'activité historique utilisé pour déterminer les quotas à allouer dans les NIM ou, le cas échéant, du niveau d'activité utilisé pour calculer les quotas à allouer aux nouvelles installations (nouveaux entrants). Le cas échéant et si cela n'a pas déjà été fait, aux fins de la définition du niveau d'activité initial, il convient de corriger ces niveaux d'activités de manière à tenir compte d'éventuelles modifications significatives de la capacité avant la cessation partielle des activités.</t>
  </si>
  <si>
    <t>Par «niveau d'activité d'une installation en place il faut entendre le niveau d'activité de la sous-installation considérée, compte tenu des éventuelles modifications significatives, conformément à l'article 9, paragraphe 9, des CIM. Pour les installations autres que les installations en place, il convient d'établir ce niveau d'activité à zéro.</t>
  </si>
  <si>
    <t xml:space="preserve">Pour toutes les modifications significatives survenues après le 30 juin 2011, veuillez indiquer dans ce champ le niveau d'activité ajouté ou réduit.  Il est important de n'indiquer que les niveaux d'activité ajoutés ou réduits et non les totaux; par exemple, une sous-installation avait un niveau d'activité initial de 100, déterminé dans l'allocation dans le cadre des NIM. Après une réduction significative, le nouveau niveau d'activité est 80. La valeur à saisir dans ce champ est «- 20. </t>
  </si>
  <si>
    <t>Le nouveau niveau d'activité obtenu est considéré comme le niveau d'activité initial pour les cessations partielles.</t>
  </si>
  <si>
    <t>Niveau d'activité annuel</t>
  </si>
  <si>
    <t>Niveau d'activité initial pour les NIM</t>
  </si>
  <si>
    <t xml:space="preserve">Niveau d'activité annuel initial </t>
  </si>
  <si>
    <t>La valeur indiquée dans ce champ est la somme de tous les niveaux d'activité annuels modifiés saisis au point c) ci-dessus.</t>
  </si>
  <si>
    <t>Niveau d'activité annuel actuel</t>
  </si>
  <si>
    <t>Veuillez introduire ici le niveau d'activité annuel correspondant à l'année civile indiquée au point a) ci-dessus.</t>
  </si>
  <si>
    <t>Vérification: réduction</t>
  </si>
  <si>
    <t>Facteur d'ajustement à appliquer:</t>
  </si>
  <si>
    <t>Cette valeur est calculée automatiquement à partir des données saisies précédemment.</t>
  </si>
  <si>
    <t>Conformément à l'article 23, paragraphe 2, la quantité initiale de quotas pour la sous-installation sera multipliée par ce facteur à compter de l'année suivant celle indiquée au point a).</t>
  </si>
  <si>
    <t>Si le niveau d'activité est réduit de 50 à 75 % par rapport au niveau d'activité initial, le facteur d'ajustement est 0,50.</t>
  </si>
  <si>
    <t>Si le niveau d'activité est réduit de 75 à 90 % par rapport au niveau d'activité initial, le facteur d'ajustement est 0,25.</t>
  </si>
  <si>
    <t>Si le niveau d'activité est réduit de  90 % ou plus  par rapport au niveau d'activité initial, le facteur d'ajustement est 0,00.</t>
  </si>
  <si>
    <t>C. Date de début</t>
  </si>
  <si>
    <t>Feuille «StartingDate» - Début de l'exploitation normale ou modifiée</t>
  </si>
  <si>
    <t>La présente feuille est utilisée pour saisir les données relatives au début de l'exploitation normale des nouvelles installations («installations en site vierge») ou au début de l'exploitation modifiée des sous-installations après une modification significative de la capacité.</t>
  </si>
  <si>
    <t>Si ces situations ne sont pas pertinentes pour la présente demande, les feuilles suivantes ne sont pas pertinentes. Vous pouvez passer directement au résumé (feuille «K_Summary»).</t>
  </si>
  <si>
    <t>Détermination du début de l'exploitation normale ou modifiée</t>
  </si>
  <si>
    <t>Conformément à l'article 3, point n), on entend par «début de l'exploitation normale le premier jour vérifié et approuvé d’une période continue de 90 jours ou, lorsque le cycle de production habituel du secteur concerné ne prévoit pas de production continue, le premier jour d’une période de 90 jours divisée en cycles de production sectoriels, durant laquelle l’installation fonctionne à 40 % au moins de la capacité pour laquelle l’équipement est conçu, compte tenu, le cas échéant, des conditions de fonctionnement propres à l’installation;</t>
  </si>
  <si>
    <t>Conformément à l'article 3, point o), on entend par «début de l'exploitation modifiée» le premier jour vérifié et approuvé d’une période continue de 90 jours ou, lorsque le cycle de production habituel du secteur concerné ne prévoit pas de production continue, le premier jour d’une période de 90 jours divisée en cycles de production sectoriels, durant laquelle la sous-installation modifiée fonctionne à 40 % au moins de la capacité pour laquelle l’équipement est conçu, compte tenu, le cas échéant, des conditions de fonctionnement propres à la sous-installation;</t>
  </si>
  <si>
    <t xml:space="preserve">Dans les deux cas, cette date revêt un intérêt capital pour l'allocation car: </t>
  </si>
  <si>
    <t xml:space="preserve">ce n'est qu'après le début de son exploitation ou modifiée qu'une installation peut prétendre à une allocation de quotas ou à une modification de l'allocation conformément aux articles 17, 20 et 21 des CIM; </t>
  </si>
  <si>
    <t>toute demande doit être introduite dans un délai d'un an à compter du début de l'exploitation normale ou modifiée;</t>
  </si>
  <si>
    <t>la quantité de quotas alloués à titre gratuit dépend de la date de début de l'exploitation normale ou modifiée.</t>
  </si>
  <si>
    <t>Capacité nominale</t>
  </si>
  <si>
    <t>La capacité nominale doit être déterminée sur la base de la documentation relative au projet et des valeurs garanties communiquées par le fournisseur. La documentation pertinente peut consister en des rapports (ceux annexés au projet), des fiches, des valeurs de performance maximales garanties.</t>
  </si>
  <si>
    <t xml:space="preserve">Pour les extensions significatives de la capacité, la capacité nominale est la capacité nominale ajoutée. </t>
  </si>
  <si>
    <t xml:space="preserve">Pour les réductions significatives de la capacité, la capacité nominale est la capacité nominale restante. </t>
  </si>
  <si>
    <t>Veuillez décrire ici brièvement la méthode appliquée pour déterminer la capacité nominale.</t>
  </si>
  <si>
    <t>Exploitation pendant une période continue de 90 jours?</t>
  </si>
  <si>
    <t>Le fait d'indiquer «VRAI» dans ce champ signifie que le niveau d'activité de cette sous-installation a été chaque jour supérieur à zéro pendant une période continue de 90 jours. Par «période continue de 90 jours», il faut entendre une période de 90 jours consécutifs durant laquelle la sous-installation est exploitée quotidiennement.</t>
  </si>
  <si>
    <t>Dans le cas où le cycle de production habituel du secteur ne prévoit pas de période continue de 90 jours, les cycles de production sectoriels sont additionnés pour constituer une période de 90 jours. Veuillez décrire ici brièvement les cycles de production habituels (par exemple, «la sous-installation n'est exploitée en principe que 5 jours par semaine»).</t>
  </si>
  <si>
    <t>Date de début de l'exploitation</t>
  </si>
  <si>
    <t>Veuillez indiquer ici la date de début de l'exploitation technique de l'installation, s'il s'agit d'une installation en site vierge, ou de la sous-installation après la modification physique.</t>
  </si>
  <si>
    <t>Veuillez noter que cette date peut, dans bien des cas, être différente de celle du début de l'exploitation normale ou modifiée.</t>
  </si>
  <si>
    <t>Ce point ne concerne que les extensions significatives de capacité.</t>
  </si>
  <si>
    <t>Vous pouvez choisir la méthode pour introduire les valeurs dans le tableau ci-dessous au point e). Options possibles: «Activité totale ou «Lié à la capacité ajoutée».</t>
  </si>
  <si>
    <t>Dans la mesure du possible, le niveau d'activité est fondé sur la capacité physique ajoutée: par exemple, lorsque l'extension de la capacité consiste en une nouvelle chaîne de production, le niveau d'activité relatif à la capacité ajoutée est la production de la nouvelle chaîne de production.</t>
  </si>
  <si>
    <t>Si tel est le cas, veuillez sélectionner «Relatif à la capacité ajoutée</t>
  </si>
  <si>
    <t>Certaines extensions de capacité consistent en des modifications de l'équipement existant. Il peut alors se révéler difficile pour l'exploitant de fournir les données requises concernant le niveau d'activité relatif à la seule capacité nominale ajoutée. En pareils cas, le niveau d'activité attribué à la capacité ajoutée est déterminé à partir du niveau d'activité total de la sous-installation concernée (ALtotal), diminué du niveau d'activité moyen des années civiles (non antérieures à 2005) précédant la modification physique, dans le tableau ci-dessous au point e).</t>
  </si>
  <si>
    <t>Si tel est le cas, veuillez sélectionner «Activité totale»</t>
  </si>
  <si>
    <t>Les données saisies dans ce tableau sont nécessaires pour déterminer le début de l'exploitation normale ou modifiée et pour vérifier si le seuil des 40 % a été dépassé.</t>
  </si>
  <si>
    <t>Veuillez indiquer dans la première colonne toutes les dates constituant la période de 90 jours.</t>
  </si>
  <si>
    <t>Si vous avez indiqué «FAUX» au point b) ci-dessus, n'introduisez de données que pour les jours dont le niveau d'activité est supérieur à zéro.</t>
  </si>
  <si>
    <t xml:space="preserve">Par «niveau d'activité pertinent», il faut entendre: </t>
  </si>
  <si>
    <t>le niveau d'activité de la première sous-installation si l'installation est une installation en site vierge.</t>
  </si>
  <si>
    <t>le niveau d'activité relatif à la capacité ajoutée dans le cas d'extensions significatives de capacité.</t>
  </si>
  <si>
    <t>le niveau d'activité restant dans le cas de réductions significatives de la capacité.</t>
  </si>
  <si>
    <t>Le début de l'exploitation normale ou modifiée sera calculé automatiquement et s'affichera au point f) ci-dessous.</t>
  </si>
  <si>
    <t xml:space="preserve"> Le niveau d'activité journalier ne doit pas nécessairement être supérieur à 40 % chaque jour de la période de 90 jours.</t>
  </si>
  <si>
    <t>Remarques concernant les extensions significatives:</t>
  </si>
  <si>
    <t>Si vous avez sélectionné «Activité totale au point d) ci-dessus, vous devez introduire le niveau quotidien moyen d'activité pour les années civiles (à partir de 2005) antérieures à la modification physique et le niveau d'activité total de la sous-installation à la date pertinente.</t>
  </si>
  <si>
    <t>Si vous avez sélectionné «Relatif à la capacité ajoutée» au point d) ci-dessus, vous ne devez introduire que le niveau d'activité journalier pertinent.</t>
  </si>
  <si>
    <t>Jour</t>
  </si>
  <si>
    <t>Niveau d'activité moyen</t>
  </si>
  <si>
    <t>Niveau d'activité total</t>
  </si>
  <si>
    <t>Niveau d'activité pertinent</t>
  </si>
  <si>
    <t>Niveau d'activité utilisé</t>
  </si>
  <si>
    <t>Résultat: Début de l'exploitation normale ou modifiée</t>
  </si>
  <si>
    <t>Le niveau d'activité se calcule en additionnant les niveaux d'activités journaliers de la période de 90 jours indiqués au point e) ci-dessus. Pour vérifier si la limite des 40 % a été atteinte, il faut diviser ce nombre par la capacité nominale de la sous-installation indiquée au point a) ci-dessus, multipliée par (90 divisé par 365).</t>
  </si>
  <si>
    <t>Cette date ne s'affiche que, durant la période de 90 jours, les niveaux d'activité cumulés indiqués au point c) ci-dessus représentent au moins 40 % de la capacité nominale indiquée au point a) ci-dessus.</t>
  </si>
  <si>
    <t>Vérification: règle des 40 %</t>
  </si>
  <si>
    <t>Veuillez indiquer ici les émissions totales mensuelles et l'intrant énergétique total lié aux combustibles, en commençant par le mois du début de l'exploitation normale ou modifiée, selon le cas. Pour déterminer les mois à notifier, voir le document d'orientation n° 7, points 3.2.2, 4.3 ou 5.2, selon le cas.</t>
  </si>
  <si>
    <t xml:space="preserve">Si l'installation est une installation en site vierge, des quotas supplémentaires sont alloués sur la base des émissions historiques exprimées en tonnes d'équivalent-dioxyde de carbone conformément à l'article 19, paragraphe 2. Par conséquent, il est nécessaire d'indiquer dans ce champ les émissions vérifiées de manière indépendante qui sont antérieures au début de l'exploitation normale (données relatives à la phase complète et non pas les données mensuelles). </t>
  </si>
  <si>
    <t>avant le début de l'exploitation</t>
  </si>
  <si>
    <t>Si vous avez choisi l'option «pourcentages» au point 2 (a) ci-dessus, les données à introduire dans ce champ doivent être exprimées sous forme d'un pourcentage des données affichées à la rubrique I ci-dessus.</t>
  </si>
  <si>
    <t>«Sous-installation avec émissions de procédé» doit ici s'entendre strictement au sens de l'article 3, point h, des CIM. La définition d'«émissions de procédé» formulée dans le règlement visé à l'article 14 de la directive SEQE-UE n'est pas pertinente en l'occurrence.</t>
  </si>
  <si>
    <t>L'expression «autres émissions (non admissibles)» désigne les émissions liées à la mise en torchère, à l'exclusion de la mise en torchère pour des raisons de sécurité, et les autres émissions qui ne donnent pas lieu à l'allocation de quotas.</t>
  </si>
  <si>
    <t>Pour les unités de production combinée de chaleur et d'électricité, veuillez utiliser la formule indiquée à la page 26 du document d'orientation n° 6 pour répartir les émissions provenant de ces unités entre émissions liées à la production d'électricité et émissions liées à la production de chaleur.</t>
  </si>
  <si>
    <t>Émissions liées à la production d'électricité</t>
  </si>
  <si>
    <t>Si l'installation est une installation en site vierge, veuillez attribuer aux sous-installations pertinentes les émissions vérifiées de manière indépendante durant la période précédant le début de l'exploitation normale.</t>
  </si>
  <si>
    <t>Veuillez noter que seules les émissions attribuées aux sous-installations pertinentes sont admissibles.</t>
  </si>
  <si>
    <t>Par «quantité admissible», il faut entendre la différence entre la somme de toutes les valeurs saisies aux lignes xv à xx et les émissions liées à la production d'électricité (xv).</t>
  </si>
  <si>
    <t>Si l'installation est une installation en site vierge, veuillez attribuer aux catégories pertinentes les intrants liés aux combustibles durant la phase précédant le début de l'exploitation normale (données relative à la phase complète et non les données mensuelles).</t>
  </si>
  <si>
    <t>Bilan de la chaleur mesurable dans l'installation</t>
  </si>
  <si>
    <t>Quantité nette totale d'électricité produite dans l'installation avant le début de l'exploitation normale</t>
  </si>
  <si>
    <t>Détermination du nouveau niveau d'activité</t>
  </si>
  <si>
    <t>Description des modifications physiques</t>
  </si>
  <si>
    <t>Veuillez décrire ici brièvement les modifications physiques</t>
  </si>
  <si>
    <t>Niveaux d’activité</t>
  </si>
  <si>
    <t>Toutefois, si un message apparaît au point c), il est impératif d'utiliser le module de calcul approprié; les résultats ainsi obtenus seront automatiquement intégrés dans le tableau au point iii).</t>
  </si>
  <si>
    <t>En cas de modifications significatives, les deux mois durant lesquels les niveaux sont les plus élevés sur les six mois suivant le début de l'exploitation modifiée sont pris en compte aux fins des calculs ultérieurs.</t>
  </si>
  <si>
    <t>S'il s'agit de la première sous-installation d'une installation en site vierge ayant démarré l'exploitation normale, les deux mois durant lesquels les niveaux sont les plus élevés sur les trois mois suivant le début de l'exploitation normale sont pris en compte aux fins des calculs ultérieurs.</t>
  </si>
  <si>
    <t>Pour cette sous-installation, la date à retenir est:</t>
  </si>
  <si>
    <t>Exemple: le début de l'exploitation normale d'une installation en site vierge est le 15 mars. La capacité initiale, dans ce cas, est déterminée sur la base:</t>
  </si>
  <si>
    <t>des deux niveaux d'activité les plus élevés enregistrés par période de 30 jours sur les 90 jours suivant le 15 mars inclus. Dans ce cas, les niveaux d'activité pour les trois périodes de 30 jours au cours de la période de 90 jours doivent être indiqués ci-après pour les mois 1, 2 et 3; ou</t>
  </si>
  <si>
    <t>des deux niveaux mensuels d'activité les plus élevés pour les mois d'avril et mai.</t>
  </si>
  <si>
    <t>S'il s'agit de la première sous-installation d'une installation en site vierge, la capacité initiale est déterminée de la manière suivante:</t>
  </si>
  <si>
    <t>Exemple: le début de l'exploitation modifiée après une modification significative de la capacité est le 15 mars. La nouvelle capacité sera basée sur les deux niveaux d'activité mensuels les plus élevés pour la période comprise entre avril et septembre.</t>
  </si>
  <si>
    <t>Pour des raisons de cohérence, les données relatives à la capacité initiale (dans le cas des installations en site vierge) ou à la nouvelle capacité (dans le cas de modifications significatives) sont déterminées compte tenu également des jours de non-exploitation.</t>
  </si>
  <si>
    <t>Vous ne devez introduire que les deux niveaux d'activité mensuels totaux les plus élevés.</t>
  </si>
  <si>
    <t xml:space="preserve">Pour les modifications significatives, la valeur calculée dans ce champ est reprise des données saisies dans la feuille A, rubrique V, laquelle doit dont obligatoirement être remplie. </t>
  </si>
  <si>
    <t>Si cette sous-installation est la première sous-installation d'une installation en site vierge à démarrer une exploitation normale, la valeur calculée dans ce champ est la moyenne des deux niveaux d'activité mensuels les plus élevés supra multipliée par 12.</t>
  </si>
  <si>
    <t>Conformément à l'article 17, paragraphe 4, des CIM, la capacité initiale doit être déterminée «suivant la méthode indiquée à l’article 7, paragraphe 3,…». Il est fait référence ici à la méthode de détermination de la capacité et non au paragraphe dans son ensemble (qui inclut la période 2005-2008). Par conséquent, la capacité est déterminée à partir des deux volumes de production mensuels les plus élevés durant la période appropriée et non par vérification expérimentale, sauf dans les cas de force majeure (lorsque toutes les données ont été perdues).</t>
  </si>
  <si>
    <t>Nouvelle capacité installée</t>
  </si>
  <si>
    <t>La valeur calculée ici est la moyenne des deux niveaux d'activité mensuels les plus élevés au point b), iii.</t>
  </si>
  <si>
    <t>Si cette sous-installation est la première sous-installation d'une installation en site vierge à démarrer une exploitation normale, cette valeur n'est pas pertinente et la case doit rester vierge.</t>
  </si>
  <si>
    <t>Capacité nouvelle, ajoutée ou retirée</t>
  </si>
  <si>
    <t>La valeur calculée dans ce champ représente:</t>
  </si>
  <si>
    <t>la capacité installée initiale lorsque cette sous-installation est la première sous-installation d'une installation en site vierge à démarrer l'exploitation normale;</t>
  </si>
  <si>
    <t>la nouvelle capacité lorsqu'il s'agit de nouvelles sous-installations considérées comme des extensions significatives de la capacité avec une capacité installée initiale égale à zéro. Dans ce cas, la capacité équivaut à la valeur indiquée au point e).</t>
  </si>
  <si>
    <t>la capacité ajoutée dans le cas d’extensions significatives de la capacité;</t>
  </si>
  <si>
    <t>la capacité retirée dans le cas de réductions significatives de la capacité. La capacité retirée n'est pas la capacité «restante».</t>
  </si>
  <si>
    <t>Pour les extensions significatives de la capacité, on vérifiera que la capacité a bien été augmentée d'au moins 10 %. Pour les réductions, on vérifiera que la capacité a bien été diminuée d'au moins 10 %.</t>
  </si>
  <si>
    <t>Il est ensuite vérifié à la rubrique K.IV de la feuille «K_Summary» que l'allocation provisoire modifiée à la sous-installation considérée est supérieure à 50 000 quotas, représentant au moins 5 % du nombre de quotas calculé avant la modification physique.</t>
  </si>
  <si>
    <t>Le quotient de la capacité et la capacité nominale seront calculés à des fins de contrôle de plausibilité. Dans le cas des extensions, cette capacité est la capacité ajoutée; dans le cas des réductions, c'est la capacité restante.</t>
  </si>
  <si>
    <t>C nouvelle / C initiale</t>
  </si>
  <si>
    <t>C / C nominale</t>
  </si>
  <si>
    <t>La présente rubrique ne doit être complétée que si le critère des 10 % visé au point e) n'est pas rempli.</t>
  </si>
  <si>
    <t>Veuillez indiquer ici le dernier nombre annuel provisoire de quotas d'émission alloués à titre gratuit à cette sous-installation avant la modification.</t>
  </si>
  <si>
    <t>Coefficient d'utilisation standard de la capacité («SCUF)</t>
  </si>
  <si>
    <r>
      <t>Il s'agit d'un facteur adimensionnel qui s'affichera automatiquement</t>
    </r>
    <r>
      <rPr>
        <i/>
        <sz val="8"/>
        <rFont val="Arial"/>
        <family val="2"/>
      </rPr>
      <t xml:space="preserve">. </t>
    </r>
    <r>
      <rPr>
        <i/>
        <sz val="8"/>
        <color indexed="62"/>
        <rFont val="Arial"/>
        <family val="2"/>
      </rPr>
      <t xml:space="preserve"> </t>
    </r>
  </si>
  <si>
    <t>Niveau d'activité de la capacité nouvelle, ajoutée ou retirée au sens de l'article 18, paragraphe 1, des CIM</t>
  </si>
  <si>
    <t>La valeur calculée dans ce champ est [SCUF au point j)] x [capacité nouvelle, ajoutée ou retirée calculée au point h) ci-dessus]. Cette valeur ne peut être calculée que si aucun message d'erreur ne s'affiche au point h).</t>
  </si>
  <si>
    <t>Dans tous les cas, les données «pertinentes à introduire dans ce champ doivent:</t>
  </si>
  <si>
    <t>dans le cas d'une installation en site vierge, renvoyer à la capacité installée initiale totale.</t>
  </si>
  <si>
    <t>dans le cas d'extensions ou de réductions significatives de la capacité, renvoyer à la capacité ajoutée ou retirée, selon le cas. Si les données ne peuvent être aisément attribuées à cette capacité ajoutée ou retirée, par exemple si la modification physique est une modification de l'équipement existant, veuillez introduire ici les données relatives au niveau d'activité mensuel total.</t>
  </si>
  <si>
    <t>Dans tous les cas, la méthode appliquée doit être cohérente pour les trois valeurs de calcul (i, ii et iii) avec la capacité à laquelle elles renvoient.</t>
  </si>
  <si>
    <t>Pour de plus amples informations, veuillez consulter l'annexe du document d'orientation n° 7  relatif aux facteurs de correction.</t>
  </si>
  <si>
    <t>Des données doivent être introduites pour tous les mois pertinents pour la détermination de la capacité, c'est-à-dire la période de 90 jours lorsqu'il s'agit de la première sous-installation d'une installation en site vierge, et six mois en cas de modification significative de la capacité.</t>
  </si>
  <si>
    <t>Émissions directes pertinentes</t>
  </si>
  <si>
    <t>Chaleur importée nette pertinente</t>
  </si>
  <si>
    <t>Veuillez décrire brièvement la façon dont les données «pertinentes aux fins du calcul du facteur de correction ont été déterminées</t>
  </si>
  <si>
    <t>Les données doivent concorder avec la chaleur mesurable nette totale importée déclarée au point j).ii ci-dessus (interchangeabilité de l'électricité), le cas échéant.</t>
  </si>
  <si>
    <t>Les données «pertinentes» indiquées ici doivent:</t>
  </si>
  <si>
    <t>Veuillez noter que, dans ce cas, les valeurs doivent concorder avec les sous-totaux figurant au point E.II.c de la feuille «E_Energy flows».</t>
  </si>
  <si>
    <t>Dans le cas d'extensions ou de réductions significatives de la capacité, les données doivent être liées à la capacité ajoutée ou retirée, selon le cas.</t>
  </si>
  <si>
    <r>
      <t>Veuillez noter que cette chaleur «pertinente» peut être exprimée dans certains cas par une valeur négative</t>
    </r>
    <r>
      <rPr>
        <i/>
        <sz val="8"/>
        <rFont val="Arial"/>
        <family val="2"/>
      </rPr>
      <t xml:space="preserve">. </t>
    </r>
  </si>
  <si>
    <t>Chaleur mesurable pertinente provenant d'installations hors SEQE:</t>
  </si>
  <si>
    <t>Contrôle de cohérence avec le point j):</t>
  </si>
  <si>
    <t>Quantité de pâte à papier mise sur le marché:</t>
  </si>
  <si>
    <t>S'il y a lieu, un message apparaîtra automatiquement pour demander la saisie des informations nécessaires aux fins de la prise en compte du volume de pâte à papier mis sur le marché.</t>
  </si>
  <si>
    <t>Conformément à l'article 10, paragraphe 7, deuxième phrase, seule la pâte à papier (pâte kraft fibres courtes, pâte kraft fibres longues, pâte thermomécanique et pâte mécanique, pâte au bisulfite) mise sur le marché et non transformée en papier dans la même installation ou dans des installations techniquement liées doit être prise en compte aux fins de l'allocation de quotas à titre gratuit.</t>
  </si>
  <si>
    <t>Veuillez indiquer ici la quantité pertinente de pâte à papier mise sur le marché et la quantité pertinente de pâte à papier produite.</t>
  </si>
  <si>
    <t>Remarque: dans ce cas, les valeurs doivent concorder avec les données relatives à la production totale indiquées au point b.i) ci-dessus.</t>
  </si>
  <si>
    <t>Dans tous les cas, la méthode appliquée doit être cohérente pour les deux valeurs de calcul (i et ii), avec la capacité à laquelle ces valeurs sont liées.</t>
  </si>
  <si>
    <t>Quantité pertinente de pâte à papier mise sur le marché:</t>
  </si>
  <si>
    <t>Quantité pertinente de pâte à papier produite</t>
  </si>
  <si>
    <t>Rapport (i/ii)</t>
  </si>
  <si>
    <t>Contrôle de cohérence avec le point b), b.i / ii.):</t>
  </si>
  <si>
    <t>Facteur de correction applicable à la pâte à papier et au papier</t>
  </si>
  <si>
    <t xml:space="preserve">Les codes PRODCOM / NACE doivent compter au moins 4 chiffres, un niveau de désagrégation supérieur (c'est-à-dire plus de chiffres) étant souhaitable; le format de saisie est «nnnn» ou «nnnnnnnn», sans point ni autre séparateur. Les codes PRODCOM 2007 [utilisés pour établir la liste relative aux risques de fuite de carbone (décision 2010/2/UE) et donc pertinents aux fins de l'annexe I des CIM] et 2010 sont obligatoires. </t>
  </si>
  <si>
    <t>Les États membres peuvent demander que soient obligatoirement notifiés les niveaux de production pour chacun des produits visés au point m) ci-dessus. Si c'est le cas dans votre État membre, les cellules ci-dessous qui correspondent à la période de référence que vous avez choisie apparaîtront en jaune vif (voir les codes de couleur à la feuille «b_Guidelines &amp; conditions»).</t>
  </si>
  <si>
    <t>Les données suivantes sont reprises automatiquement de la rubrique D.II.b de la feuille «D_Emissions» ou de la rubrique E.I.1.c ou E.II.g de la feuille «E_EnergyFlows». Elles doivent donc impérativement être introduites dans lesdites rubriques.</t>
  </si>
  <si>
    <t>En cas de modifications significatives, les deux mois durant lesquels les niveaux sont les plus élevés (ii) sur les six mois suivant le début de l'exploitation modifiée (i) sont pris en compte pour les calculs ultérieurs.</t>
  </si>
  <si>
    <t>Exemple: le début de l'exploitation normale est le 15 mars. La capacité initiale sera déterminée à partir:
- des deux niveaux d'activité les plus élevés enregistrés par période de 30 jours sur les 90 jours suivant le 15 mars inclus, ou
- des deux niveaux mensuels d'activité les plus élevés pour les mois d'avril et mai.</t>
  </si>
  <si>
    <t>Exemple: le début de l'exploitation modifiée est le 15 mars. La nouvelle capacité sera déterminée à partir des deux niveaux mensuels d'activité les plus élevés pour la période comprise entre avril et septembre.</t>
  </si>
  <si>
    <t>Les données suivantes étant calculées à partir des données figurant dans les feuilles précédentes, veuillez vous assurer que les données saisies sont correctes. Dans le cas d'une première sous-installation d'une installation en site vierge, les données figurant dans les deux rubriques précédentes doivent concorder avec la période sélectionnée ci-dessus, à savoir trois périodes de 30 jours ou deux mois civils.</t>
  </si>
  <si>
    <t>Conformément à l'article 17, paragraphe 4, des CIM, la capacité initiale doit être déterminée «suivant la méthode indiquée à l’article 7, paragraphe 3,…». Il est fait référence ici à la méthode de détermination de la capacité et non au paragraphe dans son ensemble (qui inclut la période 2005-2008). Par conséquent, la capacité est déterminée à partir des deux volumes de production mensuels les plus élevés durant la période pertinente et non par vérification expérimentale, sauf dans les cas de force majeure (lorsque toutes les données ont été perdues).</t>
  </si>
  <si>
    <t>La valeur calculée ici est la moyenne des deux niveaux d'activité mensuels les plus élevés conformément au point b).</t>
  </si>
  <si>
    <t>Veuillez indiquer ici le nombre annuel provisoire de quotas d'émission alloués à titre gratuit à cette sous-installation avant la modification.</t>
  </si>
  <si>
    <t>L'autorité compétente détermine les coefficients d'utilisation de la capacité applicables pour chaque sous-installation pour laquelle ils sont pertinents. Pour permettre à l'autorité compétente de déterminer les coefficients d'utilisation de la capacité applicables, l'exploitant communique les informations suivantes:</t>
  </si>
  <si>
    <t>Utilisation typique de la capacité dans le secteur pertinent concerné.</t>
  </si>
  <si>
    <t>Coefficient d'utilisation de la capacité applicable proposé par l'exploitant, exprimé en pourcentage de la capacité initiale</t>
  </si>
  <si>
    <t>Informations relatives au fonctionnement normal de l'installation, à sa maintenance et à son cycle de production habituel</t>
  </si>
  <si>
    <t>Veuillez indiquer ici les informations demandées ou la référence au fichier contenant ces informations.</t>
  </si>
  <si>
    <t>La valeur calculée ici est [RCUF indiqué au point g)] x [capacité nouvelle, ajoutée ou retirée calculée au point e) ci-dessus]. Cette valeur ne peut être calculée que si aucun message d'erreur ne s'affiche aux points e) et g).</t>
  </si>
  <si>
    <t>Si la chaleur est exportée, il est possible de sélectionner l'installation ou l'entité connectée déclarée à la rubrique VI de la feuille «A_InstallationData».</t>
  </si>
  <si>
    <t>Le résultat obtenu à partir de ce module est automatiquement reproduit sur la feuille «F_ProductBM», à la ligne de saisie «b.ii de la sous-installation concernée.</t>
  </si>
  <si>
    <t>Ce message est généré automatiquement lorsque des modifications significatives de cette sous-installation sont pertinentes ou si l'installation est en site vierge.</t>
  </si>
  <si>
    <t>Base (Kt)</t>
  </si>
  <si>
    <t>Le résultat obtenu à partir de ce module est repris dans la feuille «F_ProductBM», à la ligne de saisie «b.ii de la sous-installation concernée et sert de base pour calculer la valeur médiane.</t>
  </si>
  <si>
    <t>Les données suivantes étant calculées à partir des données ci-dessus, veuillez vous assurer que les données saisies sont correctes. Dans le cas d'une première sous-installation d'une installation en site vierge, les données indiquées précédemment doivent concorder avec la période sélectionnée ci-dessus, à savoir trois périodes de 30 jours ou deux mois civils.</t>
  </si>
  <si>
    <t>Remarque: dans ce cas, les valeurs indiquées ici doivent être identiques à celles de la rubrique IV.1.c ci-dessus.</t>
  </si>
  <si>
    <t xml:space="preserve">Veuillez noter que cette charge «pertinente peut être exprimée dans certains cas par une valeur négative. </t>
  </si>
  <si>
    <t>Hydrogène pertinent</t>
  </si>
  <si>
    <t>Éthylène pertinent</t>
  </si>
  <si>
    <t xml:space="preserve">Autres produits chimiques à haute valeur ajoutée (HVC) pertinents </t>
  </si>
  <si>
    <t>Dans tous les cas, la méthode appliquée doit être cohérente, pour les trois valeurs de calcul, avec la capacité à laquelle ces valeurs sont liées.</t>
  </si>
  <si>
    <t>Chaleur nette mesurable importée pertinente</t>
  </si>
  <si>
    <r>
      <t>Chaleur pertinente liée à la combustion de H</t>
    </r>
    <r>
      <rPr>
        <vertAlign val="subscript"/>
        <sz val="10"/>
        <rFont val="Arial"/>
        <family val="2"/>
      </rPr>
      <t>2</t>
    </r>
  </si>
  <si>
    <t>Admissibilité et cessation</t>
  </si>
  <si>
    <t>Installation en site vierge:</t>
  </si>
  <si>
    <t>Type de demande (rubrique A.II.1):</t>
  </si>
  <si>
    <t>Connexions techniques (rubrique A.VI):</t>
  </si>
  <si>
    <t>Cessation d'activité:</t>
  </si>
  <si>
    <t>Année de la cessation:</t>
  </si>
  <si>
    <t>Raison de la cessation:</t>
  </si>
  <si>
    <t>Autorisation ayant expiré ou ayant été retirée:</t>
  </si>
  <si>
    <t>Allocation concernant des émissions antérieures au début de l'exploitation normale</t>
  </si>
  <si>
    <t>Installation en site vierge?</t>
  </si>
  <si>
    <t>Première sous-installation</t>
  </si>
  <si>
    <t>émissions totales</t>
  </si>
  <si>
    <t>émissions liées à la production d'électricité</t>
  </si>
  <si>
    <t>résultat: émissions admissibles (= i. - ii. )</t>
  </si>
  <si>
    <t>Première sous-installation?</t>
  </si>
  <si>
    <t>Cette sous-installation est-elle  la première sous-installation d'une installation en site vierge à démarrer l'exploitation normale?</t>
  </si>
  <si>
    <t>Début de l'exploitation normale ou modifiée, selon le cas.</t>
  </si>
  <si>
    <t>Jours restants</t>
  </si>
  <si>
    <t>Jours restants dans l'année civile au cours de laquelle l'installation a démarré l'exploitation normale ou une sous-installation a démarré l'exploitation modifiée.</t>
  </si>
  <si>
    <t>Article 18, paragraphe 2  Coefficient d’utilisation de la capacité standard/Coefficient d’utilisation de la capacité applicable</t>
  </si>
  <si>
    <t>Coefficient d'utilisation de la capacité standard ou applicable utilisé pour l'application de l'article 18, paragraphe 2, des CIM</t>
  </si>
  <si>
    <t>C initiale</t>
  </si>
  <si>
    <t>Capacité installée initiale avant les modifications significatives notifiées pour la présente demande</t>
  </si>
  <si>
    <t>C nouvelle</t>
  </si>
  <si>
    <t>Nouvelle capacité installée après les modifications significatives notifiées pour la présente demande</t>
  </si>
  <si>
    <t>C pertinente</t>
  </si>
  <si>
    <t>Il s'agit de la capacité pertinente pour les calculs ultérieurs. Pour les installations en site vierge, elle équivaut à la capacité installée initiale. Pour les modifications significatives, elle correspond à la différence entre la nouvelle capacité installée et la capacité installée initiale.</t>
  </si>
  <si>
    <t>Élément de calcul pour la prise en compte de la quantité de pâte à papier mise sur le marché conformément à l'article 10, paragraphe 7.</t>
  </si>
  <si>
    <t>Niveau d'activité (AL) nouveau/ajouté/réduit</t>
  </si>
  <si>
    <t>Niveau d'activité (activity level, AL) pertinent pour le calcul de l'allocation provisoire. Dans le cas des modifications significatives, c'est le niveau d'activité lié à la capacité ajoutée ou retirée.</t>
  </si>
  <si>
    <t>Alloc nouvelle/ajoutée/réduite</t>
  </si>
  <si>
    <t>Nombre annuel provisoire de quotas d'émission alloués à titre gratuit conformément à l'article 19 des CIM, c'est-à-dire avant l'application du facteur d'exposition CL, du facteur linéaire ou du facteur de correction transsectoriel.</t>
  </si>
  <si>
    <t>Année cessation partielle</t>
  </si>
  <si>
    <t xml:space="preserve">Année civile durant laquelle a eu lieu la cessation partielle ou la reprise après cessation partielle </t>
  </si>
  <si>
    <t>Niveau d'activité initial</t>
  </si>
  <si>
    <t xml:space="preserve">ALnew (nouveau niveau d'activité) </t>
  </si>
  <si>
    <t>Nouveau niveau d'activité = le niveau d'activité de l'année durant laquelle a eu lieu la cessation partielle ou la reprise après cessation partielle</t>
  </si>
  <si>
    <t>Facteur d'ajustement</t>
  </si>
  <si>
    <t xml:space="preserve">Facteur d'ajustement à appliquer conformément à l'article 23, paragraphe 2, à compter de l'année suivant celle durant laquelle la cessation partielle des activités ou la reprise après la cessation partielle a eu lieu </t>
  </si>
  <si>
    <t>A. Modifications significatives</t>
  </si>
  <si>
    <t>Capacité notifiée</t>
  </si>
  <si>
    <t>Valeurs utilisées pour le calcul</t>
  </si>
  <si>
    <t>Article 18, paragraphe 2  Coefficient d’utilisation de la capacité standard</t>
  </si>
  <si>
    <t>Article 18, paragraphe 2 Coefficient d’utilisation de la capacité applicable</t>
  </si>
  <si>
    <t>Calcul de la quantité annuelle de quotas d'émission alloués à titre gratuit</t>
  </si>
  <si>
    <t>Dans la présente rubrique, vous trouverez un récapitulatif des valeurs de l'allocation correspondant à l'installation pour les années 2013 à 2020, calculées sur la base des données introduites dans les rubriques précédentes. Les renseignements affichés n'ont fait l'objet d'aucun contrôle de l'exhaustivité des données. Par conséquent, les données ne peuvent être considérées comme correctes que si les conditions suivantes sont remplies:</t>
  </si>
  <si>
    <t>La feuille «A_InstallationData doit être intégralement complétée, en particulier les rubriques A.II à A.V.</t>
  </si>
  <si>
    <t>Aucun message d'erreur ne s'affiche dans aucune des rubriques pertinentes.</t>
  </si>
  <si>
    <t>Clause de non-responsabilité: Conformément à l'article 19, paragraphe 1, des CIM, les États membres sont tenus de calculer le nombre annuel provisoire de quotas d'émission alloués à titre gratuit. Les résultats qui s'affichent au chapitre précédent et à la présente rubrique n'ont dès lors qu'une valeur indicative.  Aucune garantie, qu'elle soit expresse ou tacite, n'est donnée quant à l'exactitude, l'exhaustivité ou la fiabilité des résultats. Aucun droit à une certaine quantité de quotas ne peut découler des résultats affichés dans ce modèle. En ce qui concerne l'exactitude des calculs, voir également la clause de non-responsabilité figurant à la feuille «Guidelines and conditions.</t>
  </si>
  <si>
    <t>Quantité annuelle finale la plus récente de quotas alloués à titre gratuit avant la présente demande</t>
  </si>
  <si>
    <t>Les quantités indiquées correspondent à la quantité totale finale de quotas alloués à titre gratuit avant la présente demande calculée sur la base des données introduites à la rubrique A.III.</t>
  </si>
  <si>
    <t>Allocation finale la plus récente sans facteurs d'ajustement</t>
  </si>
  <si>
    <t>Ces valeurs sont conformes aux dispositions de l'article 10, paragraphe 9, ou de l'article 19, paragraphe 5, des CIM, selon le cas. Les cessations partielles (article 23) ne sont pas prises en compte dans cette rubrique.</t>
  </si>
  <si>
    <t>Allocation finale la plus récente après application des facteurs d'ajustement résultant de cessations partielles</t>
  </si>
  <si>
    <t>Ces valeurs correspondent à celles figurant au point a) ci-dessus mais sont corrigées des facteurs d'ajustements applicables aux cessations partielles conformément à l'article 23.</t>
  </si>
  <si>
    <r>
      <t>Quantité annuelle finale totale ajoutée de quotas d'émission alloués à titre gratuit</t>
    </r>
    <r>
      <rPr>
        <b/>
        <sz val="11"/>
        <rFont val="Arial"/>
        <family val="2"/>
      </rPr>
      <t>:</t>
    </r>
  </si>
  <si>
    <t>Allocation nouvelle/ajoutée/réduite</t>
  </si>
  <si>
    <t>Si l'installation est une installation en site vierge ou si une installation existante demande la modification de l'allocation à la suite de modifications significatives, l'allocation finale ajoutée ou réduite est calculée au présent point.</t>
  </si>
  <si>
    <r>
      <t>Les facteurs de calculs utilisés sont le facteur de fuite de carbone, le facteur linéaire visé à l'article 10 </t>
    </r>
    <r>
      <rPr>
        <sz val="8"/>
        <color indexed="62"/>
        <rFont val="Arial"/>
        <family val="2"/>
      </rPr>
      <t>bis</t>
    </r>
    <r>
      <rPr>
        <i/>
        <sz val="8"/>
        <color indexed="62"/>
        <rFont val="Arial"/>
        <family val="2"/>
      </rPr>
      <t>, paragraphe 4, de la directive SEQE-UE et le facteur de correction transsectoriel (CSCF) conformément à l'article 15, paragraphe 3, des CIM.</t>
    </r>
  </si>
  <si>
    <t>Veuillez noter que le CSCF n'est pertinent que pour les réductions significatives de la capacité des installations existantes non classifiées comme producteurs d'électricité.</t>
  </si>
  <si>
    <t>Somme</t>
  </si>
  <si>
    <t>Cessations partielles</t>
  </si>
  <si>
    <t>Les valeurs qui figurent dans ce tableau correspondent aux facteurs d'ajustement à appliquer à compter de la présente demande après une cessation partielle ou une reprise après cessation partielle.</t>
  </si>
  <si>
    <t>Les champs vides seront remplacés par la valeur «1» aux fins de calculs ultérieurs.</t>
  </si>
  <si>
    <t>Les quantités qui s'affichent dans ce champ correspondent au calcul de la quantité totale finale des quotas alloués à titre gratuit conformément à l'article 19, paragraphe 5, et à l'article 21, paragraphe 2, des CIM, après application des facteurs d'ajustement au sens de l'article 23 des CIM.</t>
  </si>
  <si>
    <t xml:space="preserve">«FIN DU MODÈLE» </t>
  </si>
  <si>
    <t>Dénomination</t>
  </si>
  <si>
    <t>Constante</t>
  </si>
  <si>
    <t>Autres constantes</t>
  </si>
  <si>
    <t>Activité totale</t>
  </si>
  <si>
    <t>Lié à la capacité ajoutée</t>
  </si>
  <si>
    <t>Allocation totale finale à titre gratuit</t>
  </si>
  <si>
    <t>Extensions (article 20 des CIM) et/ou réductions (article 21 des CIM) significatives de la capacité</t>
  </si>
  <si>
    <t>Cessation des activités de l'installation dans son ensemble (article 22 des CIM)</t>
  </si>
  <si>
    <t>Cessations partielles des activités et/ou reprise des activités après cessations partielles (article 23 des CIM)</t>
  </si>
  <si>
    <t>L'installation est une installation en site vierge et demande l'allocation de quotas en tant que nouvel entrant au sens de l'article 17 des CIM</t>
  </si>
  <si>
    <t>première sous-installation d'une installation en site vierge</t>
  </si>
  <si>
    <t>extension significative de la capacité</t>
  </si>
  <si>
    <t>réduction significative de la capacité</t>
  </si>
  <si>
    <t>cessation partielle</t>
  </si>
  <si>
    <t>aucune</t>
  </si>
  <si>
    <t>Phase antérieure au début</t>
  </si>
  <si>
    <t>Début de l'exploitation normale [article 3, point n), des CIM]</t>
  </si>
  <si>
    <t xml:space="preserve">Début de l'exploitation modifiée [article 3, point o), des CIM] </t>
  </si>
  <si>
    <t>Les deux périodes de 30 jours enregistrant les niveaux d'activité les plus élevés</t>
  </si>
  <si>
    <t xml:space="preserve">Les deux niveaux d'activité les plus élevés par mois civil </t>
  </si>
  <si>
    <t>L'exploitant de l'installation confirme que l'installation a cessé ses activités.</t>
  </si>
  <si>
    <t>Critère rempli</t>
  </si>
  <si>
    <t>Il manque les données relatives au coefficient d'utilisation historique de la capacité (RCUF)!</t>
  </si>
  <si>
    <t>0 &lt;= rapport &lt;=1 !</t>
  </si>
  <si>
    <t>Modification la plus récente</t>
  </si>
  <si>
    <t>NIM 2005-2008</t>
  </si>
  <si>
    <t>Vérification expérimentale NIM:</t>
  </si>
  <si>
    <t>Article 9, paragraphe 6, NIM:</t>
  </si>
  <si>
    <t>Article 9, paragraphe 9, NIM:</t>
  </si>
  <si>
    <t>a) L’autorisation d’émettre des gaz à effet de serre, l’autorisation en vigueur conformément à la directive 2008/1/CE ou toute autre autorisation environnementale pertinente est arrivée à expiration</t>
  </si>
  <si>
    <t>b) Une des autorisations visées au point a) a été retirée</t>
  </si>
  <si>
    <t>c) L’exploitation de l’installation est techniquement impossible</t>
  </si>
  <si>
    <t>d) L’installation n’est pas en activité, mais l’a été précédemment, et la reprise des activités est techniquement impossible</t>
  </si>
  <si>
    <t>e) L’installation n’est pas en activité, mais l’a été précédemment, et l’exploitant n’est pas en mesure d’établir que l’exploitation reprendra dans les six mois suivant la cessation des activités.</t>
  </si>
  <si>
    <t>aucune cessation partielle applicable pour l'année indiquée !</t>
  </si>
  <si>
    <t>augmentation de la capacité &lt; 10 %</t>
  </si>
  <si>
    <t>diminution de la capacité &lt; 10 %</t>
  </si>
  <si>
    <t>Le seuil des 40 % n'est pas atteint</t>
  </si>
  <si>
    <t>Une seule première sous-installation !</t>
  </si>
  <si>
    <t>Sélectionnez au moins une nouvelle sous-installation !</t>
  </si>
  <si>
    <t>Veuillez choisir le type de modification pour la présente demande !</t>
  </si>
  <si>
    <t>Répondre obligatoirement aux questions b) et d)!</t>
  </si>
  <si>
    <t>Répondre obligatoirement à la question e) de la rubrique A.II.2!</t>
  </si>
  <si>
    <t>Répondre obligatoirement à la question f) de la rubrique A.II.2!</t>
  </si>
  <si>
    <t>Aucune modification significative de la capacité au sens de l'article 3, points i) et j), des CIM!</t>
  </si>
  <si>
    <t>Le point e) ne s'applique pas aux installations de réserve ou de secours fonctionnant de façon saisonnière.</t>
  </si>
  <si>
    <t>Il manque l'activité (A.I.3.a)!</t>
  </si>
  <si>
    <r>
      <t xml:space="preserve">L'exploitant de l'installation confirme que l'installation ne remplit pas les conditions d'allocation de quotas à titre gratuit conformément à l'article 10 </t>
    </r>
    <r>
      <rPr>
        <i/>
        <sz val="10"/>
        <rFont val="Arial"/>
        <family val="2"/>
      </rPr>
      <t>bis</t>
    </r>
    <r>
      <rPr>
        <sz val="10"/>
        <rFont val="Arial"/>
        <family val="2"/>
      </rPr>
      <t xml:space="preserve"> de la directive SEQE-UE. </t>
    </r>
  </si>
  <si>
    <r>
      <t xml:space="preserve">L'exploitant de l'installation confirme qu'une demande de modification de la quantité de quotas alloués à titre gratuit est introduite conformément à l'article 10 </t>
    </r>
    <r>
      <rPr>
        <i/>
        <sz val="10"/>
        <rFont val="Arial"/>
        <family val="2"/>
      </rPr>
      <t>bis</t>
    </r>
    <r>
      <rPr>
        <sz val="10"/>
        <rFont val="Arial"/>
        <family val="2"/>
      </rPr>
      <t xml:space="preserve"> de la directive SEQE-UE.</t>
    </r>
  </si>
  <si>
    <t>Installation AVANT fusion, scission ou transfert</t>
  </si>
  <si>
    <t>Installation APRÈS fusion, scission ou transfert (pour laquelle la présente demande est soumise)</t>
  </si>
  <si>
    <t>Installation APRÈS fusion, scission ou transfert</t>
  </si>
  <si>
    <t>Transfert d’installation</t>
  </si>
  <si>
    <t>Répondre obligatoirement à la question a) de la rubrique A.I!</t>
  </si>
  <si>
    <t>L’exploitant a confirmé que cette demande concerne exclusivement les modifications apportées aux limites de l’installation et aux autorisations existantes; il a également confirmé qu’il n'y a eu aucune modification physique.</t>
  </si>
  <si>
    <t>Installation initiale 1</t>
  </si>
  <si>
    <t>Installation initiale 2</t>
  </si>
  <si>
    <t>Installation 1</t>
  </si>
  <si>
    <t>Installation 2</t>
  </si>
  <si>
    <t>Installations concernées</t>
  </si>
  <si>
    <t>Confirmation de l'admissibilité</t>
  </si>
  <si>
    <t>Identification de toutes les installations concernées</t>
  </si>
  <si>
    <t>Formulaire de demande de fusion, scission et transfert de parties d’installations</t>
  </si>
  <si>
    <t>Les CIM ne contiennent pas de dispositions explicites en ce qui concerne les fusions et les scissions d’installations. C’est pourquoi, en règle générale, toute modification de l’allocation de quotas à titre gratuit à la suite d’une fusion ou d'une scission des installations devrait être mise en œuvre dans le respect règles relatives aux nouveaux entrants et aux fermetures (NEC) prévues par les CIM.</t>
  </si>
  <si>
    <t>Dans le cadre des règles d’allocation harmonisées et lorsque les conditions d’une modification significative de capacité sont remplies:</t>
  </si>
  <si>
    <t>La fusion de deux installations se traduit par le fait qu'une installation cesse ses activités et qu'une autre augmente sa capacité de production.</t>
  </si>
  <si>
    <t>Les exploitants doivent faire part de ces modifications selon la procédure normale de notification des nouveaux entrants (NEC) et des fermetures et selon les règles établies dans les CIM.</t>
  </si>
  <si>
    <t>Au vu de ce qui précède, bien que les fusions et scissions soient des procédures administratives relativement fréquentes dans le secteur industriel, résultant de transferts de propriété, dans le contexte de l’allocation de quotas à titre gratuit dans le cadre du système d’échange de quotas d’émission de l’UE, elles doivent être traitées conformément aux règles d’allocation harmonisée, c’est-à-dire par le jeu des nouveaux entrants («greenfields»), des modifications significatives de capacité et des fermetures.</t>
  </si>
  <si>
    <t>Néanmoins, certaines autres modifications de l'allocation à la suite d’une fusion ou d’une scission peuvent également être conformes aux règles harmonisées en matière d’allocation de quotas, pour autant que certaines conditions soient remplies:</t>
  </si>
  <si>
    <t>Les installations doivent relever du champ d’application du système d’échange de quotas d’émission de gaz à effet de serre et détenir une autorisation GES avant et après la fusion ou la scission.</t>
  </si>
  <si>
    <t>Une fusion ou une scission n'entraîne pas l'allocation de plus de quotas que ce qui est indiqué dans le tableau national d’allocation (NAT) avant la fusion ou la scission.</t>
  </si>
  <si>
    <r>
      <t xml:space="preserve">Dans le cas d’une fusion d'installations, conformément à l’article 3 </t>
    </r>
    <r>
      <rPr>
        <i/>
        <sz val="10"/>
        <color indexed="18"/>
        <rFont val="Arial"/>
        <family val="2"/>
      </rPr>
      <t>sexies</t>
    </r>
    <r>
      <rPr>
        <sz val="10"/>
        <color indexed="18"/>
        <rFont val="Arial"/>
        <family val="2"/>
      </rPr>
      <t xml:space="preserve"> de la directive 2003/87/CE, la fusion concerne des installations qui sont techniquement liées, qui opèrent sur le même site et qui sont couvertes par la même autorisation après la fusion.</t>
    </r>
  </si>
  <si>
    <t>La ou les installations concernées par la fusion ou la scission sont couvertes par une autorisation d’émettre des gaz à effet de serre qui tient compte de leur nouveau statut.</t>
  </si>
  <si>
    <t>Il est recommandé de progresser dans le fichier en commençant par le début. Vous serez guidé tout au long du formulaire par certaines fonctions qui dépendent de l'information saisie antérieurement, telles que le changement de couleur des cellules lorsqu'une entrée n'est pas nécessaire (voir codes de couleur ci-après).</t>
  </si>
  <si>
    <t>Demande de fusion, scission et transfert de parties d’installations?</t>
  </si>
  <si>
    <t>Veuillez confirmer que la modification décrite dans la présente demande est due à une fusion, une scission ou un transfert de certaines parties d'installations uniquement. Ce faisant, vous confirmez également qu’il n’y a pas eu de modifications physiques et que la présente demande décrit exclusivement des modifications relatives aux limites de l’installation et aux autorisations existantes.</t>
  </si>
  <si>
    <t>Date officielle à laquelle la fusion, la scission ou le transfert de parties d’installations a eu lieu?</t>
  </si>
  <si>
    <t>Description de la fusion, de la scission ou du transfert</t>
  </si>
  <si>
    <t>Veuillez introduire ici une description succincte du contexte juridique conduisant à l’interprétation selon laquelle l’identification des installations devrait désormais être modifiée.</t>
  </si>
  <si>
    <t>Cette description doit préciser de quelle manière les installations concernées sont techniquement liées entre elles, à savoir unités physiques et connexions ainsi que chaleur mesurable, gaz résiduaires ou CO2 transférés de l’une vers l’autre.</t>
  </si>
  <si>
    <t>Veuillez noter que toutes les données saisies ici doivent être des informations relatives à l’installation pour laquelle la présente demande est soumise APRÈS la fusion, la scission ou le transfert de certaines parties d'installations.</t>
  </si>
  <si>
    <t>Dernière mise à jour de l’autorisation:</t>
  </si>
  <si>
    <t>Veuillez indiquer ici les informations relatives à toutes les installations concernées par la fusion, la scission ou le transfert de certaines parties d'installations.</t>
  </si>
  <si>
    <t>Les informations relatives aux installations 1 et 2 doivent correspondre à la situation AVANT la fusion, la scission ou le transfert de parties d’installations.</t>
  </si>
  <si>
    <t>Les informations relatives aux installations 3 et 4 doivent correspondre à la situation APRÈS la fusion, la scission ou le transfert de parties d’installations.</t>
  </si>
  <si>
    <t>Veuillez noter que, souvent, il n’y aura qu’une seule installation avant ou après la modification. En pareil cas, il n'y a pas lieu de remplir toutes les sections ci-dessous:</t>
  </si>
  <si>
    <t>En cas de fusion, il y aura généralement deux installations AVANT la modification et une seulement APRÈS la modification (sections correspondantes: 1, 2 et 3).</t>
  </si>
  <si>
    <t>En cas de scission, il y aura généralement une installation AVANT la modification et deux APRÈS la modification (sections correspondantes: 1, 3 et 4).</t>
  </si>
  <si>
    <t>Même installation que celle pour laquelle la présente demande est soumise?</t>
  </si>
  <si>
    <t>Veuillez indiquer ici «VRAI» si le code d'identification (ID) et les données relatives à l’installation (section II ci-dessus) AVANT la fusion, la scission ou le transfert sont identiques à celles de l'installation APRÈS ce changement.</t>
  </si>
  <si>
    <t>Si vous indiquez «FAUX», cela signifie que le code d'identification ou les données relatives à l’installation sont différents. En pareil cas, il convient de saisir manuellement au point ii. ci-dessous le nom de l’installation 1 AVANT la fusion, la scission ou le transfert.</t>
  </si>
  <si>
    <t>Nom de l’installation [mentionné à la section II. 1 a)]</t>
  </si>
  <si>
    <t>Saisie manuelle (si le nom diffère de celui indiqué en i.).</t>
  </si>
  <si>
    <t>Nom de l’installation utilisé dans la demande</t>
  </si>
  <si>
    <t>Identificateur unique automatique fourni par l'autorité compétente</t>
  </si>
  <si>
    <t>Identificateur unique utilisé pour la notification</t>
  </si>
  <si>
    <t xml:space="preserve">Identificateur unique automatique du registre </t>
  </si>
  <si>
    <t>Saisie manuelle de l'identificateur unique</t>
  </si>
  <si>
    <t>S'il n'y a qu'une installation AVANT la fusion, la scission ou le transfert, cette rubrique doit rester vide.</t>
  </si>
  <si>
    <t>Identificateur unique automatique</t>
  </si>
  <si>
    <t>Saisie manuelle (si i. ne convient pas)</t>
  </si>
  <si>
    <t>Remarque: Il s’agit de l’installation pour laquelle la présente demande est soumise. Les données saisies ici sont donc identiques à celles qui figurent dans la section II ci-dessus.</t>
  </si>
  <si>
    <t>S'il n'y a qu'une installation APRÈS la fusion, la scission ou le transfert, cette rubrique doit rester vide.</t>
  </si>
  <si>
    <t>B. Initial situation (Situation initiale)</t>
  </si>
  <si>
    <t>Feuille «Initial situation» («Situation initiale»)</t>
  </si>
  <si>
    <t>Situation AVANT la fusion des installations</t>
  </si>
  <si>
    <t>Allocation finale la plus récente sans facteurs d’ajustement pour cessation partielle</t>
  </si>
  <si>
    <t>Veuillez indiquer ici la dernière quantité totale finale de quotas alloués à titre gratuit sans application des facteurs d’ajustement conformément à l’article 23 des CIM.</t>
  </si>
  <si>
    <t>Allocation finale la plus récente avec facteurs d’ajustement pour cessation partielle</t>
  </si>
  <si>
    <t>Veuillez indiquer ici la dernière quantité totale finale de quotas alloués à titre gratuit avec application des facteurs d’ajustement conformément à l’article 23 des CIM.</t>
  </si>
  <si>
    <t>Capacité installée initiale et niveau d’activité annuel initial</t>
  </si>
  <si>
    <t>Veuillez indiquer ici les valeurs relatives à la capacité et au niveau d’activité qui ont servi à déterminer l’allocation finale la plus récente.</t>
  </si>
  <si>
    <t>Ces valeurs doivent correspondre à la capacité installée initiale et au niveau d’activité annuel initial lors de la saisie des informations. Elles serviront de base pour toute future modification de l’allocation conformément aux articles 19 à 23 des CIM.</t>
  </si>
  <si>
    <t>C. Merger, Split, Transfer (Fusion, scission, transfert)</t>
  </si>
  <si>
    <t>Feuille «Merger, Split and Transfer» («Fusion, scission, transfert»)</t>
  </si>
  <si>
    <t>Transfert de quotas, de capacité et de niveau d’activité</t>
  </si>
  <si>
    <t>Veuillez indiquer ici la part des quotas, des capacités et du niveau d’activité transférés de la première installation.</t>
  </si>
  <si>
    <t>de:</t>
  </si>
  <si>
    <t>à:</t>
  </si>
  <si>
    <t>Part</t>
  </si>
  <si>
    <t>Capacité installée</t>
  </si>
  <si>
    <t>D. Summary (Résumé)</t>
  </si>
  <si>
    <t>Feuille «Summary» («Résumé»)</t>
  </si>
  <si>
    <t>Installations concernées par la fusion, la scission ou le transfert</t>
  </si>
  <si>
    <t>Nouvelle allocation</t>
  </si>
  <si>
    <t>Nouvelle capacité installée initiale et nouveau niveau d’activité annuel:</t>
  </si>
  <si>
    <t>Année</t>
  </si>
  <si>
    <t>Si vous saisissez manuellement l'identificateur unique utilisé dans le registre au point ii. ci-dessous, le format à utiliser est le suivant: «BE000000000012345»</t>
  </si>
  <si>
    <t>Année à partir de laquelle l'allocation va être modifiée</t>
  </si>
  <si>
    <t xml:space="preserve">En principe, l’allocation sera modifiée à compter de l’année suivant la fusion, la scission ou le transfert de certaines parties de l’installation. </t>
  </si>
  <si>
    <t>Cependant, si des quotas ont déjà été délivrés pour cette année, l’allocation ne sera modifiée qu'à partir de la deuxième année suivant la fusion, la scission ou le transfert de certaines parties de l’installation.</t>
  </si>
  <si>
    <t>Exemple: une scission a lieu en novembre 2014 et est déclarée en janvier 2015. L’allocation sera modifiée à partir de janvier 2015. Si la scission n’est déclarée qu'après la délivrance des quotas en 2015 (c’est-à-dire après le 28 février 2015), l’allocation sera modifiée à partir de 2016.</t>
  </si>
  <si>
    <t>Année la plus proche à partir de laquelle l'allocation sera modifiée sur la base des informations communiquées au point b) ci-dessus.</t>
  </si>
  <si>
    <t>Quotas déjà délivrés sur votre compte au cours de l’année indiquée au point i. ci-dessus?</t>
  </si>
  <si>
    <t>Résultat final: Année à partir de laquelle l'allocation sera modifiée</t>
  </si>
  <si>
    <t>Les quantités indiquées ici résultent du calcul de la quantité totale finale de quotas alloués à titre gratuit à l’installation pour laquelle la présente demande est soumise.</t>
  </si>
  <si>
    <t>Remarque: Les quantités indiquées ici correspondent aux quotas alloués à l’autre installation concernée et ne sont pertinentes que dans les cas de scissions ou de transferts de parties d’installations. Elles ne sont indiquées que par souci d’exhaustivité.</t>
  </si>
  <si>
    <t>Fusion</t>
  </si>
  <si>
    <t>Scission</t>
  </si>
  <si>
    <t>Transfert de parties d'installations</t>
  </si>
  <si>
    <t>Situation pertinente en ce qui concerne la présente demande:</t>
  </si>
  <si>
    <t>Veuillez indiquer ici la part des quotas, des capacités et du niveau d’activité qui sont transférés de la deuxième installation.</t>
  </si>
  <si>
    <t>Le document d'orientation n° 10 intitulé «Allocation pour les fusions et scissions» dispose en son chapitre 1 qu'une fusion ou une scission n'entraîne pas l'allocation de plus de quotas que ce qui est indiqué dans le tableau national d’allocation (NAT) avant la fusion ou la scission.</t>
  </si>
  <si>
    <t>En raison de l'application de la règle de l’arrondi et en fonction des parts indiquées sur la feuille C, il est possible que la somme des allocations calculées dans les sections III. 1 et III. 2 ci-après dépasse l’allocation avant la fusion ou la scission. En pareil cas, un message d’erreur s’affichera dans l'encadré ci-dessous.</t>
  </si>
  <si>
    <t>Si un message d’erreur s'affiche ci-dessous, veuillez changer les parts indiquées sur la feuille C pour éviter l’erreur due à l’arrondi.</t>
  </si>
  <si>
    <t xml:space="preserve">La somme des allocations mentionnées aux sections III. 1 et III. 2 ci-après dépasse l'allocation initiale avant la fusion ou la scission! </t>
  </si>
  <si>
    <t>endorsed by CCC</t>
  </si>
  <si>
    <t>Le présent document est la version finale de ce modèle et a été approuvé par le comité des changements climatiques lors de sa réunion du 12 novembre 2015.</t>
  </si>
  <si>
    <t>Répondre obligatoirement à la question f) de la rubrique A.I!</t>
  </si>
  <si>
    <t>La scission d’une installation en deux (ou plusieurs installations) devrait se traduire par une réduction significative de la capacité de l’installation initiale et par un ou plusieurs nouveaux entrants («greenfield»).</t>
  </si>
  <si>
    <t>http://www.developpement-durable.gouv.fr/-Systeme-d-echange-de-quotas-.html</t>
  </si>
  <si>
    <t>Ce document doit être adressé à la DREAL compétente pour l'installation concernée</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</si>
</sst>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 ;[Red]\-#,##0\ "/>
    <numFmt numFmtId="181" formatCode="#,##0.00_ ;[Red]\-#,##0.00\ "/>
    <numFmt numFmtId="182" formatCode="0.0000%"/>
    <numFmt numFmtId="183" formatCode="0.0000"/>
    <numFmt numFmtId="184" formatCode="[$-C07]dddd\,\ dd\.\ mmmm\ yyyy"/>
    <numFmt numFmtId="185" formatCode="0.00000000"/>
    <numFmt numFmtId="186" formatCode="0.0000000"/>
    <numFmt numFmtId="187" formatCode="0.000000"/>
    <numFmt numFmtId="188" formatCode="0.00000"/>
    <numFmt numFmtId="189" formatCode="0.000"/>
    <numFmt numFmtId="190" formatCode="0.0"/>
    <numFmt numFmtId="191" formatCode="&quot;Ja&quot;;&quot;Ja&quot;;&quot;Nein&quot;"/>
    <numFmt numFmtId="192" formatCode="&quot;Wahr&quot;;&quot;Wahr&quot;;&quot;Falsch&quot;"/>
    <numFmt numFmtId="193" formatCode="&quot;Ein&quot;;&quot;Ein&quot;;&quot;Aus&quot;"/>
    <numFmt numFmtId="194" formatCode="[$€-2]\ #,##0.00_);[Red]\([$€-2]\ #,##0.00\)"/>
    <numFmt numFmtId="195" formatCode="0.0%"/>
    <numFmt numFmtId="196" formatCode="0.000%"/>
    <numFmt numFmtId="197" formatCode="#,##0.0_ ;[Red]\-#,##0.0\ "/>
    <numFmt numFmtId="198" formatCode="#,##0.000_ ;[Red]\-#,##0.000\ "/>
    <numFmt numFmtId="199" formatCode="#,##0.0000_ ;[Red]\-#,##0.0000\ "/>
    <numFmt numFmtId="200" formatCode="#,##0.000"/>
    <numFmt numFmtId="201" formatCode="0.000_ ;[Red]\-0.000\ "/>
    <numFmt numFmtId="202" formatCode="0.0000_ ;[Red]\-0.0000\ "/>
    <numFmt numFmtId="203" formatCode="[$-409]dddd\,\ mmmm\ dd\,\ yyyy"/>
    <numFmt numFmtId="204" formatCode="#,##0.00;[Red]#,##0.00"/>
    <numFmt numFmtId="205" formatCode="0.0_)"/>
    <numFmt numFmtId="206" formatCode="0_)"/>
    <numFmt numFmtId="207" formatCode="#,##0_)"/>
    <numFmt numFmtId="208" formatCode="0.0%_)"/>
    <numFmt numFmtId="209" formatCode="#,##0.00000_ ;[Red]\-#,##0.00000\ "/>
    <numFmt numFmtId="210" formatCode="#,##0.000000_ ;[Red]\-#,##0.000000\ "/>
    <numFmt numFmtId="211" formatCode="#,##0.0000000_ ;[Red]\-#,##0.0000000\ "/>
    <numFmt numFmtId="212" formatCode="0.00_)"/>
    <numFmt numFmtId="213" formatCode="General_)"/>
    <numFmt numFmtId="214" formatCode="#,##0.0"/>
    <numFmt numFmtId="215" formatCode="0_ ;[Red]\-0\ "/>
    <numFmt numFmtId="216" formatCode="#,##0.00000000_ ;[Red]\-#,##0.00000000\ "/>
    <numFmt numFmtId="217" formatCode="#,##0.0000"/>
    <numFmt numFmtId="218" formatCode="#,##0.00000"/>
  </numFmts>
  <fonts count="106">
    <font>
      <sz val="10"/>
      <name val="Arial"/>
      <family val="0"/>
    </font>
    <font>
      <sz val="11"/>
      <color indexed="8"/>
      <name val="Calibri"/>
      <family val="2"/>
    </font>
    <font>
      <b/>
      <sz val="12"/>
      <color indexed="9"/>
      <name val="Arial"/>
      <family val="2"/>
    </font>
    <font>
      <b/>
      <sz val="10"/>
      <name val="Arial"/>
      <family val="2"/>
    </font>
    <font>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u val="single"/>
      <sz val="10"/>
      <color indexed="62"/>
      <name val="Arial"/>
      <family val="2"/>
    </font>
    <font>
      <i/>
      <sz val="8"/>
      <color indexed="14"/>
      <name val="Arial"/>
      <family val="2"/>
    </font>
    <font>
      <b/>
      <sz val="12"/>
      <name val="Arial"/>
      <family val="2"/>
    </font>
    <font>
      <b/>
      <sz val="11"/>
      <color indexed="18"/>
      <name val="Arial"/>
      <family val="2"/>
    </font>
    <font>
      <b/>
      <sz val="11"/>
      <name val="Arial"/>
      <family val="2"/>
    </font>
    <font>
      <b/>
      <u val="single"/>
      <sz val="10"/>
      <color indexed="12"/>
      <name val="Arial"/>
      <family val="2"/>
    </font>
    <font>
      <sz val="10"/>
      <color indexed="10"/>
      <name val="Arial"/>
      <family val="2"/>
    </font>
    <font>
      <b/>
      <i/>
      <sz val="8"/>
      <color indexed="62"/>
      <name val="Arial"/>
      <family val="2"/>
    </font>
    <font>
      <b/>
      <sz val="9"/>
      <name val="Tahoma"/>
      <family val="2"/>
    </font>
    <font>
      <b/>
      <sz val="10"/>
      <color indexed="13"/>
      <name val="Arial"/>
      <family val="2"/>
    </font>
    <font>
      <sz val="9"/>
      <name val="Tahoma"/>
      <family val="2"/>
    </font>
    <font>
      <sz val="9"/>
      <color indexed="12"/>
      <name val="Tahoma"/>
      <family val="2"/>
    </font>
    <font>
      <b/>
      <sz val="10"/>
      <color indexed="10"/>
      <name val="Arial"/>
      <family val="2"/>
    </font>
    <font>
      <b/>
      <i/>
      <sz val="10"/>
      <name val="Arial"/>
      <family val="2"/>
    </font>
    <font>
      <b/>
      <i/>
      <sz val="10"/>
      <color indexed="62"/>
      <name val="Arial"/>
      <family val="2"/>
    </font>
    <font>
      <sz val="10"/>
      <color indexed="18"/>
      <name val="Arial"/>
      <family val="2"/>
    </font>
    <font>
      <b/>
      <i/>
      <u val="single"/>
      <sz val="10"/>
      <color indexed="62"/>
      <name val="Arial"/>
      <family val="2"/>
    </font>
    <font>
      <i/>
      <sz val="10"/>
      <name val="Arial"/>
      <family val="2"/>
    </font>
    <font>
      <b/>
      <sz val="10"/>
      <name val="Times New Roman"/>
      <family val="1"/>
    </font>
    <font>
      <b/>
      <sz val="9"/>
      <name val="Times New Roman"/>
      <family val="1"/>
    </font>
    <font>
      <b/>
      <vertAlign val="subscript"/>
      <sz val="9"/>
      <name val="Times New Roman"/>
      <family val="1"/>
    </font>
    <font>
      <sz val="9"/>
      <name val="Times New Roman"/>
      <family val="1"/>
    </font>
    <font>
      <u val="single"/>
      <sz val="10"/>
      <color indexed="36"/>
      <name val="Arial"/>
      <family val="2"/>
    </font>
    <font>
      <b/>
      <sz val="10"/>
      <color indexed="18"/>
      <name val="Arial"/>
      <family val="2"/>
    </font>
    <font>
      <sz val="10"/>
      <color indexed="62"/>
      <name val="Arial"/>
      <family val="2"/>
    </font>
    <font>
      <u val="single"/>
      <sz val="10"/>
      <color indexed="62"/>
      <name val="Arial"/>
      <family val="2"/>
    </font>
    <font>
      <i/>
      <u val="single"/>
      <sz val="8"/>
      <color indexed="12"/>
      <name val="Arial"/>
      <family val="2"/>
    </font>
    <font>
      <i/>
      <u val="single"/>
      <sz val="8"/>
      <color indexed="62"/>
      <name val="Arial"/>
      <family val="2"/>
    </font>
    <font>
      <sz val="8"/>
      <color indexed="62"/>
      <name val="Arial"/>
      <family val="2"/>
    </font>
    <font>
      <b/>
      <sz val="20"/>
      <color indexed="62"/>
      <name val="Arial"/>
      <family val="2"/>
    </font>
    <font>
      <b/>
      <i/>
      <sz val="12"/>
      <color indexed="18"/>
      <name val="Arial"/>
      <family val="2"/>
    </font>
    <font>
      <b/>
      <i/>
      <sz val="12"/>
      <name val="Arial"/>
      <family val="2"/>
    </font>
    <font>
      <i/>
      <sz val="10"/>
      <color indexed="62"/>
      <name val="Arial"/>
      <family val="2"/>
    </font>
    <font>
      <b/>
      <sz val="10"/>
      <color indexed="62"/>
      <name val="Arial"/>
      <family val="2"/>
    </font>
    <font>
      <i/>
      <sz val="8"/>
      <name val="Arial"/>
      <family val="2"/>
    </font>
    <font>
      <vertAlign val="subscript"/>
      <sz val="10"/>
      <name val="Arial"/>
      <family val="2"/>
    </font>
    <font>
      <i/>
      <sz val="10"/>
      <color indexed="18"/>
      <name val="Arial"/>
      <family val="2"/>
    </font>
    <font>
      <b/>
      <sz val="11"/>
      <color indexed="23"/>
      <name val="Arial"/>
      <family val="2"/>
    </font>
    <font>
      <sz val="10"/>
      <color indexed="23"/>
      <name val="Arial"/>
      <family val="2"/>
    </font>
    <font>
      <b/>
      <sz val="10"/>
      <color indexed="23"/>
      <name val="Arial"/>
      <family val="2"/>
    </font>
    <font>
      <sz val="14"/>
      <color indexed="62"/>
      <name val="Arial"/>
      <family val="2"/>
    </font>
    <font>
      <b/>
      <sz val="11"/>
      <color indexed="62"/>
      <name val="Arial"/>
      <family val="2"/>
    </font>
    <font>
      <b/>
      <i/>
      <sz val="8"/>
      <color indexed="18"/>
      <name val="Arial"/>
      <family val="2"/>
    </font>
    <font>
      <sz val="14"/>
      <color indexed="18"/>
      <name val="Arial"/>
      <family val="2"/>
    </font>
    <font>
      <sz val="8"/>
      <color indexed="10"/>
      <name val="Arial"/>
      <family val="2"/>
    </font>
    <font>
      <i/>
      <sz val="8"/>
      <color indexed="23"/>
      <name val="Arial"/>
      <family val="2"/>
    </font>
    <font>
      <b/>
      <i/>
      <sz val="8"/>
      <color indexed="23"/>
      <name val="Arial"/>
      <family val="2"/>
    </font>
    <font>
      <sz val="8"/>
      <name val="Segoe U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0"/>
      <color rgb="FFFF0000"/>
      <name val="Arial"/>
      <family val="2"/>
    </font>
    <font>
      <b/>
      <sz val="10"/>
      <color rgb="FFFF0000"/>
      <name val="Arial"/>
      <family val="2"/>
    </font>
    <font>
      <u val="single"/>
      <sz val="10"/>
      <color rgb="FF0000FF"/>
      <name val="Arial"/>
      <family val="2"/>
    </font>
    <font>
      <b/>
      <u val="single"/>
      <sz val="10"/>
      <color rgb="FF0000FF"/>
      <name val="Arial"/>
      <family val="2"/>
    </font>
    <font>
      <b/>
      <sz val="11"/>
      <color theme="1" tint="0.49998000264167786"/>
      <name val="Arial"/>
      <family val="2"/>
    </font>
    <font>
      <sz val="10"/>
      <color theme="1" tint="0.49998000264167786"/>
      <name val="Arial"/>
      <family val="2"/>
    </font>
    <font>
      <b/>
      <sz val="10"/>
      <color theme="1" tint="0.49998000264167786"/>
      <name val="Arial"/>
      <family val="2"/>
    </font>
    <font>
      <b/>
      <sz val="20"/>
      <color rgb="FF333399"/>
      <name val="Arial"/>
      <family val="2"/>
    </font>
    <font>
      <sz val="10"/>
      <color rgb="FF333399"/>
      <name val="Arial"/>
      <family val="2"/>
    </font>
    <font>
      <sz val="14"/>
      <color rgb="FF333399"/>
      <name val="Arial"/>
      <family val="2"/>
    </font>
    <font>
      <u val="single"/>
      <sz val="10"/>
      <color rgb="FF333399"/>
      <name val="Arial"/>
      <family val="2"/>
    </font>
    <font>
      <i/>
      <sz val="8"/>
      <color rgb="FF333399"/>
      <name val="Arial"/>
      <family val="2"/>
    </font>
    <font>
      <b/>
      <sz val="11"/>
      <color rgb="FF333399"/>
      <name val="Arial"/>
      <family val="2"/>
    </font>
    <font>
      <b/>
      <i/>
      <sz val="8"/>
      <color rgb="FF333399"/>
      <name val="Arial"/>
      <family val="2"/>
    </font>
    <font>
      <b/>
      <i/>
      <sz val="10"/>
      <color rgb="FF333399"/>
      <name val="Arial"/>
      <family val="2"/>
    </font>
    <font>
      <b/>
      <sz val="11"/>
      <color rgb="FF000080"/>
      <name val="Arial"/>
      <family val="2"/>
    </font>
    <font>
      <i/>
      <u val="single"/>
      <sz val="8"/>
      <color rgb="FF333399"/>
      <name val="Arial"/>
      <family val="2"/>
    </font>
    <font>
      <b/>
      <i/>
      <sz val="8"/>
      <color rgb="FF000080"/>
      <name val="Arial"/>
      <family val="2"/>
    </font>
    <font>
      <b/>
      <u val="single"/>
      <sz val="10"/>
      <color rgb="FF333399"/>
      <name val="Arial"/>
      <family val="2"/>
    </font>
    <font>
      <sz val="11"/>
      <color rgb="FF000000"/>
      <name val="Calibri"/>
      <family val="2"/>
    </font>
    <font>
      <b/>
      <sz val="12"/>
      <color rgb="FFFFFFFF"/>
      <name val="Arial"/>
      <family val="2"/>
    </font>
    <font>
      <b/>
      <sz val="10"/>
      <color rgb="FF000080"/>
      <name val="Arial"/>
      <family val="2"/>
    </font>
    <font>
      <sz val="10"/>
      <color rgb="FF000080"/>
      <name val="Arial"/>
      <family val="2"/>
    </font>
    <font>
      <sz val="11"/>
      <color rgb="FFFF0000"/>
      <name val="Calibri"/>
      <family val="2"/>
    </font>
    <font>
      <sz val="14"/>
      <color rgb="FF000080"/>
      <name val="Arial"/>
      <family val="2"/>
    </font>
    <font>
      <i/>
      <sz val="8"/>
      <color theme="1" tint="0.49998000264167786"/>
      <name val="Arial"/>
      <family val="2"/>
    </font>
    <font>
      <b/>
      <i/>
      <sz val="8"/>
      <color theme="1" tint="0.49998000264167786"/>
      <name val="Arial"/>
      <family val="2"/>
    </font>
    <font>
      <sz val="8"/>
      <color rgb="FFFF0000"/>
      <name val="Arial"/>
      <family val="2"/>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2"/>
        <bgColor indexed="64"/>
      </patternFill>
    </fill>
    <fill>
      <patternFill patternType="solid">
        <fgColor indexed="15"/>
        <bgColor indexed="64"/>
      </patternFill>
    </fill>
    <fill>
      <patternFill patternType="solid">
        <fgColor indexed="13"/>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rgb="FFFFFFCC"/>
        <bgColor indexed="64"/>
      </patternFill>
    </fill>
    <fill>
      <patternFill patternType="solid">
        <fgColor rgb="FFFFFFFF"/>
        <bgColor indexed="64"/>
      </patternFill>
    </fill>
    <fill>
      <patternFill patternType="solid">
        <fgColor rgb="FFDDDDDD"/>
        <bgColor indexed="64"/>
      </patternFill>
    </fill>
    <fill>
      <patternFill patternType="solid">
        <fgColor rgb="FF0000FF"/>
        <bgColor indexed="64"/>
      </patternFill>
    </fill>
    <fill>
      <patternFill patternType="solid">
        <fgColor rgb="FF00FF00"/>
        <bgColor indexed="64"/>
      </patternFill>
    </fill>
    <fill>
      <patternFill patternType="lightUp">
        <bgColor indexed="9"/>
      </patternFill>
    </fill>
  </fills>
  <borders count="14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hair"/>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style="hair"/>
      <bottom style="thin"/>
    </border>
    <border>
      <left style="thin"/>
      <right style="thin"/>
      <top style="hair"/>
      <bottom style="hair"/>
    </border>
    <border>
      <left style="thin"/>
      <right style="thin"/>
      <top style="thin"/>
      <bottom style="hair"/>
    </border>
    <border>
      <left style="thin"/>
      <right style="thin"/>
      <top/>
      <bottom style="thin"/>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thin"/>
      <top>
        <color indexed="63"/>
      </top>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medium">
        <color indexed="8"/>
      </bottom>
    </border>
    <border>
      <left>
        <color indexed="63"/>
      </left>
      <right style="thick"/>
      <top>
        <color indexed="63"/>
      </top>
      <bottom style="medium">
        <color indexed="8"/>
      </bottom>
    </border>
    <border>
      <left style="thick"/>
      <right>
        <color indexed="63"/>
      </right>
      <top style="medium">
        <color indexed="8"/>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style="thick"/>
      <bottom style="medium">
        <color indexed="8"/>
      </bottom>
    </border>
    <border>
      <left style="medium"/>
      <right style="medium"/>
      <top style="thick"/>
      <bottom style="medium">
        <color indexed="8"/>
      </bottom>
    </border>
    <border>
      <left>
        <color indexed="63"/>
      </left>
      <right style="medium"/>
      <top style="thick"/>
      <bottom style="medium">
        <color indexed="8"/>
      </bottom>
    </border>
    <border>
      <left style="medium"/>
      <right>
        <color indexed="63"/>
      </right>
      <top style="medium">
        <color indexed="8"/>
      </top>
      <bottom style="medium">
        <color indexed="8"/>
      </bottom>
    </border>
    <border>
      <left style="medium"/>
      <right style="medium"/>
      <top>
        <color indexed="63"/>
      </top>
      <bottom style="medium">
        <color indexed="8"/>
      </bottom>
    </border>
    <border>
      <left>
        <color indexed="63"/>
      </left>
      <right style="medium"/>
      <top>
        <color indexed="63"/>
      </top>
      <bottom style="medium">
        <color indexed="8"/>
      </bottom>
    </border>
    <border>
      <left style="medium"/>
      <right>
        <color indexed="63"/>
      </right>
      <top>
        <color indexed="63"/>
      </top>
      <bottom style="medium">
        <color indexed="8"/>
      </bottom>
    </border>
    <border>
      <left style="medium"/>
      <right>
        <color indexed="63"/>
      </right>
      <top style="medium"/>
      <bottom style="medium">
        <color indexed="8"/>
      </bottom>
    </border>
    <border>
      <left style="medium"/>
      <right>
        <color indexed="63"/>
      </right>
      <top style="medium">
        <color indexed="8"/>
      </top>
      <bottom style="medium"/>
    </border>
    <border>
      <left style="medium"/>
      <right style="medium"/>
      <top>
        <color indexed="63"/>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color indexed="63"/>
      </left>
      <right>
        <color indexed="63"/>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hair"/>
      <right style="hair"/>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color indexed="63"/>
      </right>
      <top style="hair"/>
      <bottom style="thin"/>
    </border>
    <border>
      <left style="medium"/>
      <right style="medium"/>
      <top style="medium"/>
      <bottom style="medium"/>
    </border>
    <border>
      <left style="thin"/>
      <right style="thin"/>
      <top>
        <color indexed="63"/>
      </top>
      <bottom>
        <color indexed="63"/>
      </bottom>
    </border>
    <border>
      <left style="thin"/>
      <right style="thin"/>
      <top>
        <color indexed="63"/>
      </top>
      <bottom style="medium"/>
    </border>
    <border>
      <left style="thin"/>
      <right style="thin"/>
      <top style="medium"/>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thin"/>
      <right>
        <color indexed="63"/>
      </right>
      <top style="thin"/>
      <bottom>
        <color indexed="63"/>
      </bottom>
    </border>
    <border>
      <left style="thin"/>
      <right>
        <color indexed="63"/>
      </right>
      <top style="thin"/>
      <bottom style="thin"/>
    </border>
    <border>
      <left style="thin"/>
      <right style="hair"/>
      <top style="hair"/>
      <bottom style="thin"/>
    </border>
    <border>
      <left style="thin"/>
      <right>
        <color indexed="63"/>
      </right>
      <top>
        <color indexed="63"/>
      </top>
      <bottom>
        <color indexed="63"/>
      </bottom>
    </border>
    <border>
      <left style="medium"/>
      <right style="hair"/>
      <top style="medium"/>
      <bottom style="hair"/>
    </border>
    <border>
      <left style="hair"/>
      <right style="hair"/>
      <top style="medium"/>
      <bottom style="hair"/>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hair"/>
    </border>
    <border>
      <left style="thin"/>
      <right style="thin"/>
      <top style="thin"/>
      <bottom/>
    </border>
    <border>
      <left>
        <color indexed="63"/>
      </left>
      <right>
        <color indexed="63"/>
      </right>
      <top>
        <color indexed="63"/>
      </top>
      <bottom style="medium">
        <color indexed="12"/>
      </bottom>
    </border>
    <border>
      <left style="thin"/>
      <right style="thin"/>
      <top>
        <color indexed="63"/>
      </top>
      <bottom style="hair"/>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hair"/>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color indexed="63"/>
      </left>
      <right>
        <color indexed="63"/>
      </right>
      <top style="thin"/>
      <bottom style="medium"/>
    </border>
    <border>
      <left>
        <color indexed="63"/>
      </left>
      <right style="thin"/>
      <top style="thin"/>
      <bottom style="medium"/>
    </border>
    <border>
      <left style="thin"/>
      <right style="medium"/>
      <top>
        <color indexed="63"/>
      </top>
      <bottom style="thin"/>
    </border>
    <border>
      <left style="medium"/>
      <right style="thin"/>
      <top>
        <color indexed="63"/>
      </top>
      <bottom style="thin"/>
    </border>
    <border>
      <left style="thin"/>
      <right>
        <color indexed="63"/>
      </right>
      <top style="thin"/>
      <bottom style="medium"/>
    </border>
    <border>
      <left style="medium"/>
      <right style="thin"/>
      <top>
        <color indexed="63"/>
      </top>
      <bottom style="hair"/>
    </border>
    <border>
      <left style="medium"/>
      <right style="thin"/>
      <top style="hair"/>
      <bottom style="hair"/>
    </border>
    <border>
      <left style="medium"/>
      <right style="thin"/>
      <top style="hair"/>
      <bottom style="thin"/>
    </border>
    <border>
      <left style="medium"/>
      <right style="thin"/>
      <top style="hair"/>
      <bottom>
        <color indexed="63"/>
      </bottom>
    </border>
    <border>
      <left style="hair"/>
      <right>
        <color indexed="63"/>
      </right>
      <top style="thin"/>
      <bottom style="hair"/>
    </border>
    <border>
      <left>
        <color indexed="63"/>
      </left>
      <right>
        <color indexed="63"/>
      </right>
      <top style="hair"/>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medium"/>
    </border>
    <border>
      <left>
        <color indexed="63"/>
      </left>
      <right style="hair"/>
      <top style="medium"/>
      <bottom style="hair"/>
    </border>
    <border>
      <left style="hair"/>
      <right>
        <color indexed="63"/>
      </right>
      <top style="medium"/>
      <bottom style="hair"/>
    </border>
    <border>
      <left style="medium"/>
      <right>
        <color indexed="63"/>
      </right>
      <top style="hair"/>
      <bottom style="hair"/>
    </border>
    <border>
      <left>
        <color indexed="63"/>
      </left>
      <right style="hair"/>
      <top style="hair"/>
      <bottom style="hair"/>
    </border>
    <border>
      <left>
        <color indexed="63"/>
      </left>
      <right style="thin"/>
      <top style="thin"/>
      <bottom>
        <color indexed="63"/>
      </bottom>
    </border>
    <border>
      <left style="medium"/>
      <right>
        <color indexed="63"/>
      </right>
      <top style="medium"/>
      <bottom style="thin"/>
    </border>
    <border>
      <left style="thin"/>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color indexed="63"/>
      </right>
      <top style="medium"/>
      <bottom style="hair"/>
    </border>
    <border>
      <left>
        <color indexed="63"/>
      </left>
      <right style="medium"/>
      <top style="hair"/>
      <bottom style="hair"/>
    </border>
    <border>
      <left style="thin"/>
      <right>
        <color indexed="63"/>
      </right>
      <top style="hair"/>
      <bottom style="medium"/>
    </border>
    <border>
      <left>
        <color indexed="63"/>
      </left>
      <right style="medium"/>
      <top style="hair"/>
      <bottom style="medium"/>
    </border>
    <border>
      <left>
        <color indexed="63"/>
      </left>
      <right style="medium"/>
      <top>
        <color indexed="63"/>
      </top>
      <bottom style="hair"/>
    </border>
    <border>
      <left>
        <color indexed="63"/>
      </left>
      <right style="medium"/>
      <top style="hair"/>
      <bottom style="thin"/>
    </border>
    <border>
      <left style="thick"/>
      <right style="thick"/>
      <top style="medium">
        <color indexed="8"/>
      </top>
      <bottom>
        <color indexed="63"/>
      </bottom>
    </border>
    <border>
      <left style="thick"/>
      <right style="thick"/>
      <top>
        <color indexed="63"/>
      </top>
      <bottom style="thick"/>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0" fillId="20" borderId="1" applyNumberFormat="0" applyAlignment="0" applyProtection="0"/>
    <xf numFmtId="0" fontId="9" fillId="3" borderId="0" applyNumberFormat="0" applyBorder="0" applyAlignment="0" applyProtection="0"/>
    <xf numFmtId="0" fontId="10" fillId="20" borderId="2" applyNumberFormat="0" applyAlignment="0" applyProtection="0"/>
    <xf numFmtId="0" fontId="10" fillId="20" borderId="2" applyNumberFormat="0" applyAlignment="0" applyProtection="0"/>
    <xf numFmtId="0" fontId="11" fillId="21" borderId="3" applyNumberFormat="0" applyAlignment="0" applyProtection="0"/>
    <xf numFmtId="0" fontId="17" fillId="7" borderId="2" applyNumberFormat="0" applyAlignment="0" applyProtection="0"/>
    <xf numFmtId="0" fontId="22" fillId="0" borderId="4"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7" borderId="2" applyNumberFormat="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18"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0" fillId="23" borderId="9" applyNumberFormat="0" applyFont="0" applyAlignment="0" applyProtection="0"/>
    <xf numFmtId="0" fontId="1" fillId="23" borderId="9" applyNumberFormat="0" applyFont="0" applyAlignment="0" applyProtection="0"/>
    <xf numFmtId="0" fontId="20" fillId="20" borderId="1" applyNumberFormat="0" applyAlignment="0" applyProtection="0"/>
    <xf numFmtId="9" fontId="0" fillId="0" borderId="0" applyFont="0" applyFill="0" applyBorder="0" applyAlignment="0" applyProtection="0"/>
    <xf numFmtId="0" fontId="9" fillId="3" borderId="0" applyNumberFormat="0" applyBorder="0" applyAlignment="0" applyProtection="0"/>
    <xf numFmtId="0" fontId="1" fillId="0" borderId="0">
      <alignment/>
      <protection/>
    </xf>
    <xf numFmtId="0" fontId="21" fillId="0" borderId="0" applyNumberFormat="0" applyFill="0" applyBorder="0" applyAlignment="0" applyProtection="0"/>
    <xf numFmtId="0" fontId="22" fillId="0" borderId="4" applyNumberFormat="0" applyFill="0" applyAlignment="0" applyProtection="0"/>
    <xf numFmtId="0" fontId="21"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8" fillId="0" borderId="8"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1" fillId="21" borderId="3" applyNumberFormat="0" applyAlignment="0" applyProtection="0"/>
  </cellStyleXfs>
  <cellXfs count="1088">
    <xf numFmtId="0" fontId="0" fillId="0" borderId="0" xfId="0" applyAlignment="1">
      <alignment/>
    </xf>
    <xf numFmtId="0" fontId="5" fillId="24" borderId="0" xfId="61" applyFill="1" applyBorder="1" applyAlignment="1" applyProtection="1">
      <alignment vertical="top"/>
      <protection/>
    </xf>
    <xf numFmtId="0" fontId="3" fillId="24" borderId="0" xfId="6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25" borderId="0" xfId="0" applyNumberFormat="1" applyFont="1" applyFill="1" applyBorder="1" applyAlignment="1" applyProtection="1">
      <alignment vertical="top"/>
      <protection/>
    </xf>
    <xf numFmtId="0" fontId="0" fillId="24" borderId="0" xfId="0" applyFill="1" applyAlignment="1" applyProtection="1">
      <alignment/>
      <protection/>
    </xf>
    <xf numFmtId="0" fontId="4" fillId="24" borderId="0"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Border="1" applyAlignment="1" applyProtection="1">
      <alignment horizontal="center"/>
      <protection/>
    </xf>
    <xf numFmtId="0" fontId="0" fillId="24" borderId="0" xfId="0" applyFont="1" applyFill="1" applyAlignment="1" applyProtection="1">
      <alignment/>
      <protection/>
    </xf>
    <xf numFmtId="0" fontId="0" fillId="25" borderId="0" xfId="0" applyFont="1" applyFill="1" applyAlignment="1" applyProtection="1">
      <alignment/>
      <protection/>
    </xf>
    <xf numFmtId="0" fontId="6" fillId="24" borderId="0" xfId="0" applyFont="1" applyFill="1" applyAlignment="1" applyProtection="1">
      <alignment vertical="top"/>
      <protection/>
    </xf>
    <xf numFmtId="0" fontId="2" fillId="26" borderId="0" xfId="0" applyFont="1" applyFill="1" applyBorder="1" applyAlignment="1" applyProtection="1">
      <alignment horizontal="left"/>
      <protection/>
    </xf>
    <xf numFmtId="0" fontId="2" fillId="26" borderId="0" xfId="0" applyFont="1" applyFill="1" applyBorder="1" applyAlignment="1" applyProtection="1">
      <alignment/>
      <protection/>
    </xf>
    <xf numFmtId="0" fontId="3" fillId="24" borderId="0" xfId="0" applyFont="1" applyFill="1" applyAlignment="1" applyProtection="1">
      <alignment horizontal="center" vertical="top"/>
      <protection/>
    </xf>
    <xf numFmtId="0" fontId="0" fillId="24" borderId="0" xfId="0" applyFont="1" applyFill="1" applyAlignment="1" applyProtection="1">
      <alignment vertical="top"/>
      <protection/>
    </xf>
    <xf numFmtId="0" fontId="28" fillId="24" borderId="0" xfId="0" applyFont="1" applyFill="1" applyAlignment="1" applyProtection="1">
      <alignment horizontal="center"/>
      <protection/>
    </xf>
    <xf numFmtId="0" fontId="28" fillId="24" borderId="0" xfId="0" applyFont="1" applyFill="1" applyAlignment="1" applyProtection="1">
      <alignment/>
      <protection/>
    </xf>
    <xf numFmtId="0" fontId="0" fillId="24" borderId="0" xfId="0" applyNumberFormat="1" applyFont="1" applyFill="1" applyBorder="1" applyAlignment="1" applyProtection="1">
      <alignment vertical="top"/>
      <protection/>
    </xf>
    <xf numFmtId="0" fontId="0" fillId="24" borderId="0" xfId="0" applyFill="1" applyAlignment="1" applyProtection="1">
      <alignment horizontal="left" vertical="top"/>
      <protection/>
    </xf>
    <xf numFmtId="0" fontId="0" fillId="24" borderId="10"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3" fillId="24" borderId="10" xfId="0" applyFont="1" applyFill="1" applyBorder="1" applyAlignment="1" applyProtection="1">
      <alignment horizontal="left" vertical="top"/>
      <protection/>
    </xf>
    <xf numFmtId="0" fontId="0" fillId="24" borderId="0" xfId="0" applyFont="1" applyFill="1" applyBorder="1" applyAlignment="1" applyProtection="1">
      <alignment/>
      <protection/>
    </xf>
    <xf numFmtId="0" fontId="0" fillId="24" borderId="12" xfId="0" applyNumberFormat="1" applyFont="1" applyFill="1" applyBorder="1" applyAlignment="1" applyProtection="1">
      <alignment vertical="top"/>
      <protection/>
    </xf>
    <xf numFmtId="0" fontId="0" fillId="24" borderId="10" xfId="0" applyNumberFormat="1" applyFont="1" applyFill="1" applyBorder="1" applyAlignment="1" applyProtection="1">
      <alignment horizontal="center" vertical="top"/>
      <protection/>
    </xf>
    <xf numFmtId="0" fontId="3" fillId="24"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0" fillId="4" borderId="11" xfId="0" applyNumberFormat="1" applyFont="1" applyFill="1" applyBorder="1" applyAlignment="1" applyProtection="1">
      <alignment vertical="top"/>
      <protection/>
    </xf>
    <xf numFmtId="0" fontId="0" fillId="24" borderId="0" xfId="0" applyNumberFormat="1" applyFont="1" applyFill="1" applyBorder="1" applyAlignment="1" applyProtection="1">
      <alignment horizontal="center" vertical="top"/>
      <protection/>
    </xf>
    <xf numFmtId="180" fontId="0" fillId="24" borderId="13" xfId="0" applyNumberFormat="1" applyFont="1" applyFill="1" applyBorder="1" applyAlignment="1" applyProtection="1">
      <alignment horizontal="right" vertical="top" indent="1"/>
      <protection/>
    </xf>
    <xf numFmtId="180" fontId="0" fillId="24" borderId="14" xfId="0" applyNumberFormat="1" applyFont="1" applyFill="1" applyBorder="1" applyAlignment="1" applyProtection="1">
      <alignment horizontal="right" vertical="top" indent="1"/>
      <protection/>
    </xf>
    <xf numFmtId="180" fontId="0" fillId="24" borderId="15" xfId="0" applyNumberFormat="1" applyFont="1" applyFill="1" applyBorder="1" applyAlignment="1" applyProtection="1">
      <alignment horizontal="right" vertical="top" indent="1"/>
      <protection/>
    </xf>
    <xf numFmtId="0" fontId="0" fillId="25" borderId="0" xfId="0" applyNumberFormat="1" applyFont="1" applyFill="1" applyBorder="1" applyAlignment="1" applyProtection="1">
      <alignment horizontal="center" vertical="top"/>
      <protection/>
    </xf>
    <xf numFmtId="0" fontId="0" fillId="25" borderId="0" xfId="0" applyNumberFormat="1" applyFont="1" applyFill="1" applyBorder="1" applyAlignment="1" applyProtection="1">
      <alignment horizontal="left" vertical="top"/>
      <protection/>
    </xf>
    <xf numFmtId="0" fontId="0" fillId="0" borderId="16" xfId="0" applyNumberFormat="1" applyFont="1" applyFill="1" applyBorder="1" applyAlignment="1" applyProtection="1">
      <alignment vertical="top"/>
      <protection/>
    </xf>
    <xf numFmtId="0" fontId="0" fillId="0" borderId="17" xfId="0" applyNumberFormat="1" applyFont="1" applyFill="1" applyBorder="1" applyAlignment="1" applyProtection="1">
      <alignment vertical="top"/>
      <protection/>
    </xf>
    <xf numFmtId="180" fontId="0" fillId="24" borderId="18" xfId="0" applyNumberFormat="1" applyFont="1" applyFill="1" applyBorder="1" applyAlignment="1" applyProtection="1">
      <alignment horizontal="right" vertical="top" indent="1"/>
      <protection/>
    </xf>
    <xf numFmtId="0" fontId="0" fillId="24" borderId="0" xfId="0" applyFill="1" applyAlignment="1" applyProtection="1">
      <alignment horizontal="center"/>
      <protection/>
    </xf>
    <xf numFmtId="0" fontId="0" fillId="0" borderId="0" xfId="0" applyNumberFormat="1" applyFont="1" applyFill="1" applyBorder="1" applyAlignment="1" applyProtection="1">
      <alignment horizontal="center" vertical="top"/>
      <protection/>
    </xf>
    <xf numFmtId="0" fontId="0" fillId="10" borderId="0" xfId="0" applyNumberFormat="1" applyFont="1" applyFill="1" applyBorder="1" applyAlignment="1" applyProtection="1">
      <alignment vertical="top"/>
      <protection/>
    </xf>
    <xf numFmtId="0" fontId="0" fillId="0" borderId="19" xfId="0" applyNumberFormat="1" applyFont="1" applyFill="1" applyBorder="1" applyAlignment="1" applyProtection="1">
      <alignment vertical="top"/>
      <protection/>
    </xf>
    <xf numFmtId="0" fontId="0" fillId="0" borderId="20" xfId="0" applyNumberFormat="1" applyFont="1" applyFill="1" applyBorder="1" applyAlignment="1" applyProtection="1">
      <alignment horizontal="center" vertical="top"/>
      <protection/>
    </xf>
    <xf numFmtId="0" fontId="0" fillId="10" borderId="20" xfId="0" applyNumberFormat="1" applyFont="1" applyFill="1" applyBorder="1" applyAlignment="1" applyProtection="1">
      <alignment vertical="top"/>
      <protection/>
    </xf>
    <xf numFmtId="0" fontId="0" fillId="0" borderId="20" xfId="0" applyNumberFormat="1" applyFont="1" applyFill="1" applyBorder="1" applyAlignment="1" applyProtection="1">
      <alignment vertical="top"/>
      <protection/>
    </xf>
    <xf numFmtId="0" fontId="0" fillId="0" borderId="21" xfId="0" applyNumberFormat="1" applyFont="1" applyFill="1" applyBorder="1" applyAlignment="1" applyProtection="1">
      <alignment vertical="top"/>
      <protection/>
    </xf>
    <xf numFmtId="0" fontId="0" fillId="0" borderId="22" xfId="0" applyNumberFormat="1" applyFont="1" applyFill="1" applyBorder="1" applyAlignment="1" applyProtection="1">
      <alignment vertical="top"/>
      <protection/>
    </xf>
    <xf numFmtId="0" fontId="0" fillId="0" borderId="23" xfId="0" applyNumberFormat="1" applyFont="1" applyFill="1" applyBorder="1" applyAlignment="1" applyProtection="1">
      <alignment vertical="top"/>
      <protection/>
    </xf>
    <xf numFmtId="0" fontId="0" fillId="0" borderId="24" xfId="0" applyNumberFormat="1" applyFont="1" applyFill="1" applyBorder="1" applyAlignment="1" applyProtection="1">
      <alignment vertical="top"/>
      <protection/>
    </xf>
    <xf numFmtId="180" fontId="0" fillId="0" borderId="25" xfId="0" applyNumberFormat="1" applyFont="1" applyFill="1" applyBorder="1" applyAlignment="1" applyProtection="1">
      <alignment vertical="top"/>
      <protection/>
    </xf>
    <xf numFmtId="180" fontId="0" fillId="0" borderId="26" xfId="0" applyNumberFormat="1" applyFont="1" applyFill="1" applyBorder="1" applyAlignment="1" applyProtection="1">
      <alignment vertical="top"/>
      <protection/>
    </xf>
    <xf numFmtId="0" fontId="0" fillId="0" borderId="27" xfId="0" applyNumberFormat="1" applyFont="1" applyFill="1" applyBorder="1" applyAlignment="1" applyProtection="1">
      <alignment horizontal="center" vertical="top"/>
      <protection/>
    </xf>
    <xf numFmtId="0" fontId="0" fillId="0" borderId="28" xfId="0" applyNumberFormat="1" applyFont="1" applyFill="1" applyBorder="1" applyAlignment="1" applyProtection="1">
      <alignment horizontal="center" vertical="top"/>
      <protection/>
    </xf>
    <xf numFmtId="0" fontId="0" fillId="0" borderId="29" xfId="0" applyNumberFormat="1" applyFont="1" applyFill="1" applyBorder="1" applyAlignment="1" applyProtection="1">
      <alignment horizontal="center" vertical="top"/>
      <protection/>
    </xf>
    <xf numFmtId="0" fontId="0" fillId="0" borderId="27" xfId="0" applyNumberFormat="1" applyFont="1" applyFill="1" applyBorder="1" applyAlignment="1" applyProtection="1">
      <alignment vertical="top"/>
      <protection/>
    </xf>
    <xf numFmtId="0" fontId="0" fillId="0" borderId="28" xfId="0" applyNumberFormat="1" applyFont="1" applyFill="1" applyBorder="1" applyAlignment="1" applyProtection="1">
      <alignment vertical="top"/>
      <protection/>
    </xf>
    <xf numFmtId="0" fontId="0" fillId="0" borderId="29" xfId="0" applyNumberFormat="1" applyFont="1" applyFill="1" applyBorder="1" applyAlignment="1" applyProtection="1">
      <alignment vertical="top"/>
      <protection/>
    </xf>
    <xf numFmtId="0" fontId="0" fillId="0" borderId="30" xfId="0" applyNumberFormat="1" applyFont="1" applyFill="1" applyBorder="1" applyAlignment="1" applyProtection="1">
      <alignment vertical="top"/>
      <protection/>
    </xf>
    <xf numFmtId="0" fontId="0" fillId="0" borderId="31" xfId="0" applyNumberFormat="1" applyFont="1" applyFill="1" applyBorder="1" applyAlignment="1" applyProtection="1">
      <alignment vertical="top"/>
      <protection/>
    </xf>
    <xf numFmtId="0" fontId="0" fillId="0" borderId="32" xfId="0" applyNumberFormat="1" applyFont="1" applyFill="1" applyBorder="1" applyAlignment="1" applyProtection="1">
      <alignment vertical="top"/>
      <protection/>
    </xf>
    <xf numFmtId="0" fontId="0" fillId="0" borderId="30" xfId="0" applyNumberFormat="1" applyFont="1" applyFill="1" applyBorder="1" applyAlignment="1" applyProtection="1">
      <alignment horizontal="center" vertical="top"/>
      <protection/>
    </xf>
    <xf numFmtId="0" fontId="38" fillId="10" borderId="32" xfId="0" applyNumberFormat="1" applyFont="1" applyFill="1" applyBorder="1" applyAlignment="1" applyProtection="1">
      <alignment vertical="top"/>
      <protection/>
    </xf>
    <xf numFmtId="0" fontId="0" fillId="0" borderId="33" xfId="0" applyNumberFormat="1" applyFont="1" applyFill="1" applyBorder="1" applyAlignment="1" applyProtection="1">
      <alignment vertical="top"/>
      <protection/>
    </xf>
    <xf numFmtId="0" fontId="0" fillId="4" borderId="34" xfId="0" applyNumberFormat="1" applyFont="1" applyFill="1" applyBorder="1" applyAlignment="1" applyProtection="1">
      <alignment horizontal="center" vertical="top"/>
      <protection/>
    </xf>
    <xf numFmtId="0" fontId="0" fillId="4" borderId="35" xfId="0" applyNumberFormat="1" applyFont="1" applyFill="1" applyBorder="1" applyAlignment="1" applyProtection="1">
      <alignment horizontal="center" vertical="top"/>
      <protection/>
    </xf>
    <xf numFmtId="0" fontId="0" fillId="4" borderId="36" xfId="0" applyNumberFormat="1" applyFont="1" applyFill="1" applyBorder="1" applyAlignment="1" applyProtection="1">
      <alignment horizontal="center" vertical="top"/>
      <protection/>
    </xf>
    <xf numFmtId="0" fontId="3" fillId="24" borderId="37" xfId="0" applyNumberFormat="1" applyFont="1" applyFill="1" applyBorder="1" applyAlignment="1" applyProtection="1">
      <alignment horizontal="center" wrapText="1"/>
      <protection/>
    </xf>
    <xf numFmtId="0" fontId="7" fillId="24" borderId="0" xfId="0" applyFont="1" applyFill="1" applyAlignment="1" applyProtection="1" quotePrefix="1">
      <alignment horizontal="right" vertical="top"/>
      <protection/>
    </xf>
    <xf numFmtId="0" fontId="28" fillId="24" borderId="10" xfId="0" applyFont="1" applyFill="1" applyBorder="1" applyAlignment="1" applyProtection="1">
      <alignment horizontal="center"/>
      <protection/>
    </xf>
    <xf numFmtId="0" fontId="0" fillId="24" borderId="21" xfId="0" applyFont="1" applyFill="1" applyBorder="1" applyAlignment="1" applyProtection="1">
      <alignment/>
      <protection/>
    </xf>
    <xf numFmtId="0" fontId="0" fillId="24" borderId="20" xfId="0" applyFont="1" applyFill="1" applyBorder="1" applyAlignment="1" applyProtection="1">
      <alignment/>
      <protection/>
    </xf>
    <xf numFmtId="0" fontId="0" fillId="24" borderId="20" xfId="0" applyFill="1" applyBorder="1" applyAlignment="1" applyProtection="1">
      <alignment/>
      <protection/>
    </xf>
    <xf numFmtId="0" fontId="0" fillId="24" borderId="38" xfId="0" applyFill="1" applyBorder="1" applyAlignment="1" applyProtection="1">
      <alignment/>
      <protection/>
    </xf>
    <xf numFmtId="0" fontId="0" fillId="24" borderId="19" xfId="0" applyFont="1" applyFill="1" applyBorder="1" applyAlignment="1" applyProtection="1">
      <alignment/>
      <protection/>
    </xf>
    <xf numFmtId="0" fontId="0" fillId="24" borderId="39" xfId="0" applyFill="1" applyBorder="1" applyAlignment="1" applyProtection="1">
      <alignment/>
      <protection/>
    </xf>
    <xf numFmtId="0" fontId="0" fillId="24" borderId="19" xfId="0" applyNumberFormat="1" applyFont="1" applyFill="1" applyBorder="1" applyAlignment="1" applyProtection="1">
      <alignment vertical="top"/>
      <protection/>
    </xf>
    <xf numFmtId="0" fontId="0" fillId="24" borderId="39" xfId="0" applyNumberFormat="1" applyFont="1" applyFill="1" applyBorder="1" applyAlignment="1" applyProtection="1">
      <alignment vertical="top"/>
      <protection/>
    </xf>
    <xf numFmtId="0" fontId="0" fillId="24" borderId="17" xfId="0" applyFont="1" applyFill="1" applyBorder="1" applyAlignment="1" applyProtection="1">
      <alignment/>
      <protection/>
    </xf>
    <xf numFmtId="0" fontId="0" fillId="24" borderId="16" xfId="0" applyFont="1" applyFill="1" applyBorder="1" applyAlignment="1" applyProtection="1">
      <alignment/>
      <protection/>
    </xf>
    <xf numFmtId="0" fontId="0" fillId="24" borderId="16" xfId="0" applyFill="1" applyBorder="1" applyAlignment="1" applyProtection="1">
      <alignment/>
      <protection/>
    </xf>
    <xf numFmtId="0" fontId="0" fillId="24" borderId="40" xfId="0" applyFill="1" applyBorder="1" applyAlignment="1" applyProtection="1">
      <alignment/>
      <protection/>
    </xf>
    <xf numFmtId="0" fontId="3" fillId="0" borderId="40" xfId="0" applyNumberFormat="1" applyFont="1" applyFill="1" applyBorder="1" applyAlignment="1" applyProtection="1">
      <alignment vertical="top"/>
      <protection/>
    </xf>
    <xf numFmtId="0" fontId="0" fillId="0" borderId="0" xfId="0" applyAlignment="1" applyProtection="1">
      <alignment/>
      <protection/>
    </xf>
    <xf numFmtId="0" fontId="0" fillId="24" borderId="0" xfId="0" applyFill="1" applyAlignment="1" applyProtection="1">
      <alignment/>
      <protection/>
    </xf>
    <xf numFmtId="0" fontId="3" fillId="0" borderId="0" xfId="0" applyFont="1" applyAlignment="1" applyProtection="1">
      <alignment/>
      <protection/>
    </xf>
    <xf numFmtId="0" fontId="0" fillId="0" borderId="0" xfId="0" applyAlignment="1" applyProtection="1">
      <alignment horizontal="center"/>
      <protection/>
    </xf>
    <xf numFmtId="0" fontId="0" fillId="24" borderId="0" xfId="0" applyFill="1" applyBorder="1" applyAlignment="1" applyProtection="1">
      <alignment/>
      <protection/>
    </xf>
    <xf numFmtId="0" fontId="0" fillId="0" borderId="0" xfId="0" applyFill="1" applyAlignment="1" applyProtection="1">
      <alignment/>
      <protection/>
    </xf>
    <xf numFmtId="0" fontId="40" fillId="24" borderId="0" xfId="0" applyFont="1" applyFill="1" applyAlignment="1" applyProtection="1">
      <alignment horizontal="left"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protection/>
    </xf>
    <xf numFmtId="0" fontId="0" fillId="0" borderId="0" xfId="0" applyAlignment="1" applyProtection="1">
      <alignment/>
      <protection/>
    </xf>
    <xf numFmtId="0" fontId="0" fillId="20" borderId="0" xfId="0" applyFill="1" applyAlignment="1" applyProtection="1">
      <alignment/>
      <protection/>
    </xf>
    <xf numFmtId="0" fontId="0" fillId="24" borderId="0" xfId="0" applyFill="1" applyAlignment="1" applyProtection="1">
      <alignment vertical="top"/>
      <protection/>
    </xf>
    <xf numFmtId="0" fontId="0" fillId="24" borderId="0" xfId="0" applyFill="1" applyBorder="1" applyAlignment="1" applyProtection="1">
      <alignment vertical="top"/>
      <protection/>
    </xf>
    <xf numFmtId="180" fontId="0" fillId="24" borderId="0" xfId="0" applyNumberFormat="1" applyFill="1" applyBorder="1" applyAlignment="1" applyProtection="1">
      <alignment vertical="top"/>
      <protection/>
    </xf>
    <xf numFmtId="0" fontId="0" fillId="24" borderId="0" xfId="0" applyNumberFormat="1" applyFill="1" applyBorder="1" applyAlignment="1" applyProtection="1">
      <alignment vertical="top"/>
      <protection/>
    </xf>
    <xf numFmtId="0" fontId="0" fillId="0" borderId="0" xfId="0" applyAlignment="1" applyProtection="1">
      <alignment wrapText="1"/>
      <protection/>
    </xf>
    <xf numFmtId="0" fontId="3" fillId="24" borderId="0" xfId="0" applyFont="1" applyFill="1" applyAlignment="1" applyProtection="1">
      <alignment horizontal="center" vertical="top"/>
      <protection/>
    </xf>
    <xf numFmtId="0" fontId="3" fillId="24" borderId="0" xfId="0" applyFont="1" applyFill="1" applyAlignment="1" applyProtection="1">
      <alignment vertical="top"/>
      <protection/>
    </xf>
    <xf numFmtId="0" fontId="0" fillId="24" borderId="0" xfId="0" applyNumberFormat="1" applyFont="1" applyFill="1" applyBorder="1" applyAlignment="1" applyProtection="1">
      <alignment horizontal="left" vertical="top"/>
      <protection/>
    </xf>
    <xf numFmtId="0" fontId="26" fillId="24" borderId="0" xfId="0" applyFont="1" applyFill="1" applyAlignment="1" applyProtection="1">
      <alignment vertical="top"/>
      <protection/>
    </xf>
    <xf numFmtId="0" fontId="3" fillId="24" borderId="41" xfId="0" applyFont="1" applyFill="1" applyBorder="1" applyAlignment="1" applyProtection="1">
      <alignment vertical="top"/>
      <protection/>
    </xf>
    <xf numFmtId="0" fontId="3" fillId="24" borderId="10" xfId="0" applyFont="1" applyFill="1" applyBorder="1" applyAlignment="1" applyProtection="1">
      <alignment vertical="top"/>
      <protection/>
    </xf>
    <xf numFmtId="0" fontId="0" fillId="24" borderId="10" xfId="0" applyFont="1" applyFill="1" applyBorder="1" applyAlignment="1" applyProtection="1">
      <alignment vertical="top"/>
      <protection/>
    </xf>
    <xf numFmtId="0" fontId="0" fillId="24" borderId="10" xfId="0" applyFont="1" applyFill="1" applyBorder="1" applyAlignment="1" applyProtection="1">
      <alignment/>
      <protection/>
    </xf>
    <xf numFmtId="0" fontId="0" fillId="24" borderId="10" xfId="0" applyNumberFormat="1" applyFont="1" applyFill="1" applyBorder="1" applyAlignment="1" applyProtection="1">
      <alignment horizontal="left" vertical="top"/>
      <protection/>
    </xf>
    <xf numFmtId="0" fontId="0" fillId="24" borderId="0" xfId="0" applyFont="1" applyFill="1" applyAlignment="1" applyProtection="1">
      <alignment horizontal="center" vertical="top"/>
      <protection/>
    </xf>
    <xf numFmtId="0" fontId="3" fillId="24" borderId="41" xfId="0" applyFont="1" applyFill="1" applyBorder="1" applyAlignment="1" applyProtection="1">
      <alignment horizontal="left" vertical="top"/>
      <protection/>
    </xf>
    <xf numFmtId="0" fontId="37" fillId="0" borderId="0" xfId="0" applyFont="1" applyAlignment="1" applyProtection="1">
      <alignment/>
      <protection/>
    </xf>
    <xf numFmtId="0" fontId="31" fillId="0" borderId="0" xfId="0" applyFont="1" applyAlignment="1" applyProtection="1">
      <alignment/>
      <protection/>
    </xf>
    <xf numFmtId="0" fontId="0" fillId="22" borderId="0" xfId="0" applyFill="1" applyAlignment="1" applyProtection="1">
      <alignment/>
      <protection/>
    </xf>
    <xf numFmtId="0" fontId="0" fillId="10" borderId="0" xfId="0" applyFill="1" applyAlignment="1" applyProtection="1">
      <alignment/>
      <protection/>
    </xf>
    <xf numFmtId="0" fontId="3" fillId="0" borderId="10" xfId="0" applyFont="1" applyBorder="1" applyAlignment="1" applyProtection="1">
      <alignment/>
      <protection/>
    </xf>
    <xf numFmtId="0" fontId="0" fillId="0" borderId="10" xfId="0" applyBorder="1" applyAlignment="1" applyProtection="1">
      <alignment/>
      <protection/>
    </xf>
    <xf numFmtId="0" fontId="0" fillId="25" borderId="0" xfId="0" applyFill="1" applyAlignment="1" applyProtection="1">
      <alignment/>
      <protection/>
    </xf>
    <xf numFmtId="0" fontId="0" fillId="25" borderId="0" xfId="0" applyFill="1" applyAlignment="1" applyProtection="1">
      <alignment horizontal="center"/>
      <protection/>
    </xf>
    <xf numFmtId="0" fontId="34" fillId="26" borderId="0" xfId="0" applyFont="1" applyFill="1" applyAlignment="1" applyProtection="1">
      <alignment/>
      <protection/>
    </xf>
    <xf numFmtId="0" fontId="0" fillId="25" borderId="0" xfId="0" applyFill="1" applyAlignment="1" applyProtection="1">
      <alignment/>
      <protection/>
    </xf>
    <xf numFmtId="0" fontId="35" fillId="0" borderId="0" xfId="0" applyFont="1" applyAlignment="1" applyProtection="1">
      <alignment horizontal="left"/>
      <protection/>
    </xf>
    <xf numFmtId="0" fontId="0" fillId="25" borderId="0" xfId="0" applyFill="1" applyAlignment="1" applyProtection="1">
      <alignment wrapText="1"/>
      <protection/>
    </xf>
    <xf numFmtId="0" fontId="24" fillId="25" borderId="0" xfId="0" applyFont="1" applyFill="1" applyAlignment="1" applyProtection="1">
      <alignment wrapText="1"/>
      <protection/>
    </xf>
    <xf numFmtId="183" fontId="0" fillId="25" borderId="0" xfId="0" applyNumberFormat="1" applyFill="1" applyAlignment="1" applyProtection="1">
      <alignment/>
      <protection/>
    </xf>
    <xf numFmtId="0" fontId="24" fillId="0" borderId="0" xfId="0" applyFont="1" applyAlignment="1" applyProtection="1">
      <alignment/>
      <protection/>
    </xf>
    <xf numFmtId="183" fontId="0" fillId="27" borderId="0" xfId="0" applyNumberFormat="1" applyFill="1" applyAlignment="1" applyProtection="1">
      <alignment/>
      <protection/>
    </xf>
    <xf numFmtId="0" fontId="31" fillId="10" borderId="0" xfId="0" applyFont="1" applyFill="1" applyAlignment="1" applyProtection="1">
      <alignment/>
      <protection/>
    </xf>
    <xf numFmtId="0" fontId="36" fillId="0" borderId="0" xfId="0" applyFont="1" applyFill="1" applyAlignment="1" applyProtection="1">
      <alignment horizontal="left"/>
      <protection/>
    </xf>
    <xf numFmtId="0" fontId="36" fillId="0" borderId="0" xfId="0" applyFont="1" applyFill="1" applyAlignment="1" applyProtection="1">
      <alignment horizontal="left" indent="1"/>
      <protection/>
    </xf>
    <xf numFmtId="0" fontId="24" fillId="25" borderId="0" xfId="0" applyFont="1" applyFill="1" applyAlignment="1" applyProtection="1">
      <alignment/>
      <protection/>
    </xf>
    <xf numFmtId="0" fontId="0" fillId="0" borderId="0" xfId="0" applyBorder="1" applyAlignment="1" applyProtection="1">
      <alignment/>
      <protection/>
    </xf>
    <xf numFmtId="0" fontId="0" fillId="25" borderId="0" xfId="0" applyFill="1" applyBorder="1" applyAlignment="1" applyProtection="1">
      <alignment/>
      <protection/>
    </xf>
    <xf numFmtId="0" fontId="0" fillId="0" borderId="0" xfId="0" applyBorder="1" applyAlignment="1" applyProtection="1">
      <alignment horizontal="center"/>
      <protection/>
    </xf>
    <xf numFmtId="0" fontId="31" fillId="0" borderId="0" xfId="0" applyFont="1" applyAlignment="1" applyProtection="1">
      <alignment/>
      <protection/>
    </xf>
    <xf numFmtId="0" fontId="43" fillId="0" borderId="42" xfId="0" applyFont="1" applyBorder="1" applyAlignment="1" applyProtection="1">
      <alignment horizontal="left" vertical="top"/>
      <protection/>
    </xf>
    <xf numFmtId="0" fontId="44" fillId="0" borderId="43" xfId="0" applyFont="1" applyBorder="1" applyAlignment="1" applyProtection="1">
      <alignment horizontal="center" vertical="top" wrapText="1"/>
      <protection/>
    </xf>
    <xf numFmtId="0" fontId="43" fillId="0" borderId="44" xfId="0" applyFont="1" applyBorder="1" applyAlignment="1" applyProtection="1">
      <alignment horizontal="left" vertical="top"/>
      <protection/>
    </xf>
    <xf numFmtId="0" fontId="44" fillId="0" borderId="45" xfId="0" applyFont="1" applyBorder="1" applyAlignment="1" applyProtection="1">
      <alignment horizontal="center" vertical="top" wrapText="1"/>
      <protection/>
    </xf>
    <xf numFmtId="0" fontId="3" fillId="0" borderId="46" xfId="0" applyFont="1" applyBorder="1" applyAlignment="1" applyProtection="1">
      <alignment horizontal="left" vertical="top"/>
      <protection/>
    </xf>
    <xf numFmtId="0" fontId="44" fillId="0" borderId="47" xfId="0" applyFont="1" applyBorder="1" applyAlignment="1" applyProtection="1">
      <alignment horizontal="center" vertical="top" wrapText="1"/>
      <protection/>
    </xf>
    <xf numFmtId="0" fontId="3" fillId="0" borderId="48" xfId="0" applyFont="1" applyBorder="1" applyAlignment="1" applyProtection="1">
      <alignment horizontal="left" vertical="top"/>
      <protection/>
    </xf>
    <xf numFmtId="0" fontId="44" fillId="0" borderId="49" xfId="0" applyFont="1" applyBorder="1" applyAlignment="1" applyProtection="1">
      <alignment horizontal="center" vertical="top" wrapText="1"/>
      <protection/>
    </xf>
    <xf numFmtId="0" fontId="46" fillId="20" borderId="50" xfId="0" applyFont="1" applyFill="1" applyBorder="1" applyAlignment="1" applyProtection="1">
      <alignment horizontal="left" vertical="top"/>
      <protection/>
    </xf>
    <xf numFmtId="0" fontId="46" fillId="20" borderId="51" xfId="0" applyFont="1" applyFill="1" applyBorder="1" applyAlignment="1" applyProtection="1">
      <alignment horizontal="center" vertical="top" wrapText="1"/>
      <protection/>
    </xf>
    <xf numFmtId="0" fontId="46" fillId="20" borderId="52" xfId="0" applyFont="1" applyFill="1" applyBorder="1" applyAlignment="1" applyProtection="1">
      <alignment horizontal="center" vertical="top" wrapText="1"/>
      <protection/>
    </xf>
    <xf numFmtId="0" fontId="46" fillId="20" borderId="53" xfId="0" applyFont="1" applyFill="1" applyBorder="1" applyAlignment="1" applyProtection="1">
      <alignment horizontal="left" vertical="top"/>
      <protection/>
    </xf>
    <xf numFmtId="0" fontId="46" fillId="20" borderId="54" xfId="0" applyFont="1" applyFill="1" applyBorder="1" applyAlignment="1" applyProtection="1">
      <alignment horizontal="center" vertical="top" wrapText="1"/>
      <protection/>
    </xf>
    <xf numFmtId="0" fontId="46" fillId="20" borderId="55" xfId="0" applyFont="1" applyFill="1" applyBorder="1" applyAlignment="1" applyProtection="1">
      <alignment horizontal="center" vertical="top" wrapText="1"/>
      <protection/>
    </xf>
    <xf numFmtId="0" fontId="46" fillId="20" borderId="56" xfId="0" applyFont="1" applyFill="1" applyBorder="1" applyAlignment="1" applyProtection="1">
      <alignment horizontal="left" vertical="top"/>
      <protection/>
    </xf>
    <xf numFmtId="0" fontId="46" fillId="20" borderId="57" xfId="0" applyFont="1" applyFill="1" applyBorder="1" applyAlignment="1" applyProtection="1">
      <alignment horizontal="left" vertical="top"/>
      <protection/>
    </xf>
    <xf numFmtId="0" fontId="46" fillId="20" borderId="58" xfId="0" applyFont="1" applyFill="1" applyBorder="1" applyAlignment="1" applyProtection="1">
      <alignment horizontal="left" vertical="top"/>
      <protection/>
    </xf>
    <xf numFmtId="0" fontId="46" fillId="20" borderId="59" xfId="0" applyFont="1" applyFill="1" applyBorder="1" applyAlignment="1" applyProtection="1">
      <alignment horizontal="center" vertical="top" wrapText="1"/>
      <protection/>
    </xf>
    <xf numFmtId="0" fontId="46" fillId="20" borderId="21" xfId="0" applyFont="1" applyFill="1" applyBorder="1" applyAlignment="1" applyProtection="1">
      <alignment horizontal="center" vertical="top" wrapText="1"/>
      <protection/>
    </xf>
    <xf numFmtId="0" fontId="46" fillId="20" borderId="39" xfId="0" applyFont="1" applyFill="1" applyBorder="1" applyAlignment="1" applyProtection="1">
      <alignment horizontal="left" vertical="top"/>
      <protection/>
    </xf>
    <xf numFmtId="0" fontId="22" fillId="0" borderId="10" xfId="74" applyFont="1" applyBorder="1" applyProtection="1">
      <alignment/>
      <protection/>
    </xf>
    <xf numFmtId="0" fontId="1" fillId="0" borderId="0" xfId="74" applyProtection="1">
      <alignment/>
      <protection/>
    </xf>
    <xf numFmtId="0" fontId="0" fillId="8" borderId="0" xfId="0" applyFill="1" applyAlignment="1" applyProtection="1">
      <alignment/>
      <protection/>
    </xf>
    <xf numFmtId="0" fontId="0" fillId="20" borderId="0" xfId="0" applyFont="1" applyFill="1" applyBorder="1" applyAlignment="1" applyProtection="1">
      <alignment horizontal="left" vertical="top" wrapText="1"/>
      <protection/>
    </xf>
    <xf numFmtId="0" fontId="0" fillId="0" borderId="60" xfId="0" applyBorder="1" applyAlignment="1" applyProtection="1">
      <alignment/>
      <protection/>
    </xf>
    <xf numFmtId="0" fontId="0" fillId="22" borderId="61" xfId="0" applyFill="1" applyBorder="1" applyAlignment="1" applyProtection="1">
      <alignment/>
      <protection/>
    </xf>
    <xf numFmtId="0" fontId="0" fillId="0" borderId="62" xfId="0" applyBorder="1" applyAlignment="1" applyProtection="1">
      <alignment/>
      <protection/>
    </xf>
    <xf numFmtId="14" fontId="0" fillId="18" borderId="63" xfId="0" applyNumberFormat="1" applyFill="1" applyBorder="1" applyAlignment="1" applyProtection="1">
      <alignment horizontal="left"/>
      <protection/>
    </xf>
    <xf numFmtId="0" fontId="0" fillId="4" borderId="64" xfId="0" applyFill="1" applyBorder="1" applyAlignment="1" applyProtection="1">
      <alignment/>
      <protection/>
    </xf>
    <xf numFmtId="0" fontId="0" fillId="4" borderId="65" xfId="0" applyFill="1" applyBorder="1" applyAlignment="1" applyProtection="1">
      <alignment/>
      <protection/>
    </xf>
    <xf numFmtId="0" fontId="0" fillId="4" borderId="66" xfId="0" applyFill="1" applyBorder="1" applyAlignment="1" applyProtection="1">
      <alignment/>
      <protection/>
    </xf>
    <xf numFmtId="0" fontId="0" fillId="0" borderId="67" xfId="0" applyBorder="1" applyAlignment="1" applyProtection="1">
      <alignment/>
      <protection/>
    </xf>
    <xf numFmtId="0" fontId="0" fillId="8" borderId="68" xfId="0" applyFill="1" applyBorder="1" applyAlignment="1" applyProtection="1">
      <alignment/>
      <protection/>
    </xf>
    <xf numFmtId="0" fontId="0" fillId="0" borderId="69" xfId="0" applyBorder="1" applyAlignment="1" applyProtection="1">
      <alignment/>
      <protection/>
    </xf>
    <xf numFmtId="0" fontId="0" fillId="20" borderId="70" xfId="0" applyFill="1" applyBorder="1" applyAlignment="1" applyProtection="1">
      <alignment/>
      <protection/>
    </xf>
    <xf numFmtId="0" fontId="3" fillId="0" borderId="0" xfId="0" applyFont="1" applyBorder="1" applyAlignment="1" applyProtection="1">
      <alignment/>
      <protection/>
    </xf>
    <xf numFmtId="0" fontId="0" fillId="22" borderId="0" xfId="0" applyFill="1" applyBorder="1" applyAlignment="1" applyProtection="1">
      <alignment/>
      <protection/>
    </xf>
    <xf numFmtId="14" fontId="0" fillId="18" borderId="71" xfId="0" applyNumberFormat="1" applyFill="1" applyBorder="1" applyAlignment="1" applyProtection="1">
      <alignment horizontal="center"/>
      <protection/>
    </xf>
    <xf numFmtId="0" fontId="0" fillId="4" borderId="13" xfId="0" applyFill="1" applyBorder="1" applyAlignment="1" applyProtection="1">
      <alignment/>
      <protection/>
    </xf>
    <xf numFmtId="14" fontId="0" fillId="18" borderId="72" xfId="0" applyNumberFormat="1" applyFill="1" applyBorder="1" applyAlignment="1" applyProtection="1">
      <alignment horizontal="center"/>
      <protection/>
    </xf>
    <xf numFmtId="0" fontId="0" fillId="4" borderId="73" xfId="0" applyFill="1" applyBorder="1" applyAlignment="1" applyProtection="1">
      <alignment/>
      <protection/>
    </xf>
    <xf numFmtId="0" fontId="0" fillId="4" borderId="74" xfId="0" applyFill="1" applyBorder="1" applyAlignment="1" applyProtection="1">
      <alignment/>
      <protection/>
    </xf>
    <xf numFmtId="0" fontId="0" fillId="4" borderId="14" xfId="0" applyFill="1" applyBorder="1" applyAlignment="1" applyProtection="1">
      <alignment/>
      <protection/>
    </xf>
    <xf numFmtId="0" fontId="0" fillId="4" borderId="75" xfId="0" applyFill="1" applyBorder="1" applyAlignment="1" applyProtection="1">
      <alignment/>
      <protection/>
    </xf>
    <xf numFmtId="0" fontId="0" fillId="4" borderId="76" xfId="0" applyFill="1" applyBorder="1" applyAlignment="1" applyProtection="1">
      <alignment/>
      <protection/>
    </xf>
    <xf numFmtId="0" fontId="0" fillId="4" borderId="15" xfId="0" applyFill="1" applyBorder="1" applyAlignment="1" applyProtection="1">
      <alignment/>
      <protection/>
    </xf>
    <xf numFmtId="0" fontId="0" fillId="0" borderId="0" xfId="0" applyFill="1" applyBorder="1" applyAlignment="1" applyProtection="1">
      <alignment/>
      <protection/>
    </xf>
    <xf numFmtId="0" fontId="5" fillId="24" borderId="0" xfId="61" applyFill="1" applyAlignment="1" applyProtection="1">
      <alignment/>
      <protection/>
    </xf>
    <xf numFmtId="0" fontId="40" fillId="24" borderId="0" xfId="0" applyNumberFormat="1" applyFont="1" applyFill="1" applyAlignment="1" applyProtection="1">
      <alignment horizontal="left" vertical="top"/>
      <protection/>
    </xf>
    <xf numFmtId="0" fontId="48" fillId="24" borderId="0" xfId="0" applyFont="1" applyFill="1" applyAlignment="1" applyProtection="1">
      <alignment horizontal="center" vertical="top"/>
      <protection/>
    </xf>
    <xf numFmtId="0" fontId="48" fillId="24" borderId="32" xfId="0" applyNumberFormat="1" applyFont="1" applyFill="1" applyBorder="1" applyAlignment="1" applyProtection="1">
      <alignment horizontal="left" vertical="top"/>
      <protection/>
    </xf>
    <xf numFmtId="0" fontId="48" fillId="24" borderId="12" xfId="0" applyNumberFormat="1" applyFont="1" applyFill="1" applyBorder="1" applyAlignment="1" applyProtection="1">
      <alignment horizontal="left" vertical="top"/>
      <protection/>
    </xf>
    <xf numFmtId="0" fontId="48" fillId="24" borderId="10" xfId="0" applyNumberFormat="1" applyFont="1" applyFill="1" applyBorder="1" applyAlignment="1" applyProtection="1">
      <alignment horizontal="left" vertical="top"/>
      <protection/>
    </xf>
    <xf numFmtId="180" fontId="0" fillId="28" borderId="34" xfId="0" applyNumberFormat="1" applyFont="1" applyFill="1" applyBorder="1" applyAlignment="1" applyProtection="1">
      <alignment vertical="top"/>
      <protection locked="0"/>
    </xf>
    <xf numFmtId="0" fontId="0" fillId="24" borderId="0" xfId="0" applyFont="1" applyFill="1" applyAlignment="1" applyProtection="1">
      <alignment horizontal="right" vertical="top"/>
      <protection/>
    </xf>
    <xf numFmtId="0" fontId="0" fillId="24" borderId="0" xfId="0" applyFont="1" applyFill="1" applyAlignment="1" applyProtection="1">
      <alignment horizontal="right" indent="1"/>
      <protection/>
    </xf>
    <xf numFmtId="0" fontId="0" fillId="24" borderId="0" xfId="0" applyFont="1" applyFill="1" applyAlignment="1" applyProtection="1">
      <alignment horizontal="right" vertical="top" indent="1"/>
      <protection/>
    </xf>
    <xf numFmtId="0" fontId="7" fillId="24" borderId="0" xfId="0" applyFont="1" applyFill="1" applyAlignment="1" applyProtection="1" quotePrefix="1">
      <alignment horizontal="right" vertical="top" wrapText="1"/>
      <protection/>
    </xf>
    <xf numFmtId="0" fontId="0" fillId="0" borderId="0" xfId="0" applyNumberFormat="1" applyFont="1" applyFill="1" applyBorder="1" applyAlignment="1" applyProtection="1">
      <alignment horizontal="right" vertical="top"/>
      <protection/>
    </xf>
    <xf numFmtId="0" fontId="3" fillId="24" borderId="0" xfId="0" applyFont="1" applyFill="1" applyBorder="1" applyAlignment="1" applyProtection="1">
      <alignment horizontal="center" vertical="top"/>
      <protection/>
    </xf>
    <xf numFmtId="0" fontId="0" fillId="24" borderId="0" xfId="0" applyFill="1" applyBorder="1" applyAlignment="1" applyProtection="1">
      <alignment horizontal="center" vertical="top" wrapText="1"/>
      <protection/>
    </xf>
    <xf numFmtId="0" fontId="25" fillId="24" borderId="0" xfId="0" applyFont="1" applyFill="1" applyBorder="1" applyAlignment="1" applyProtection="1">
      <alignment/>
      <protection/>
    </xf>
    <xf numFmtId="0" fontId="6" fillId="24" borderId="0" xfId="0" applyFont="1" applyFill="1" applyBorder="1" applyAlignment="1" applyProtection="1">
      <alignment vertical="top"/>
      <protection/>
    </xf>
    <xf numFmtId="49" fontId="0" fillId="28" borderId="11" xfId="0" applyNumberFormat="1" applyFont="1" applyFill="1" applyBorder="1" applyAlignment="1" applyProtection="1">
      <alignment horizontal="center" vertical="top"/>
      <protection locked="0"/>
    </xf>
    <xf numFmtId="0" fontId="0" fillId="24" borderId="0" xfId="0" applyFill="1" applyBorder="1" applyAlignment="1" applyProtection="1">
      <alignment horizontal="center" vertical="top"/>
      <protection/>
    </xf>
    <xf numFmtId="0" fontId="3" fillId="21" borderId="77" xfId="0" applyFont="1" applyFill="1" applyBorder="1" applyAlignment="1" applyProtection="1">
      <alignment/>
      <protection/>
    </xf>
    <xf numFmtId="0" fontId="0" fillId="21" borderId="77" xfId="0" applyFill="1" applyBorder="1" applyAlignment="1" applyProtection="1">
      <alignment/>
      <protection/>
    </xf>
    <xf numFmtId="0" fontId="3" fillId="21" borderId="64" xfId="0" applyFont="1" applyFill="1" applyBorder="1" applyAlignment="1" applyProtection="1">
      <alignment/>
      <protection/>
    </xf>
    <xf numFmtId="0" fontId="0" fillId="24" borderId="0" xfId="0" applyFont="1" applyFill="1" applyBorder="1" applyAlignment="1" applyProtection="1">
      <alignment vertical="top"/>
      <protection/>
    </xf>
    <xf numFmtId="0" fontId="3" fillId="24" borderId="28" xfId="0" applyNumberFormat="1" applyFont="1" applyFill="1" applyBorder="1" applyAlignment="1" applyProtection="1">
      <alignment horizontal="right" indent="1"/>
      <protection/>
    </xf>
    <xf numFmtId="0" fontId="0" fillId="4" borderId="77" xfId="0" applyNumberFormat="1" applyFont="1" applyFill="1" applyBorder="1" applyAlignment="1" applyProtection="1">
      <alignment vertical="top"/>
      <protection/>
    </xf>
    <xf numFmtId="0" fontId="3" fillId="24" borderId="41" xfId="0" applyNumberFormat="1" applyFont="1" applyFill="1" applyBorder="1" applyAlignment="1" applyProtection="1">
      <alignment horizontal="right"/>
      <protection/>
    </xf>
    <xf numFmtId="0" fontId="0" fillId="21" borderId="0" xfId="0" applyFill="1" applyAlignment="1" applyProtection="1">
      <alignment/>
      <protection/>
    </xf>
    <xf numFmtId="0" fontId="0" fillId="25" borderId="0" xfId="0" applyNumberFormat="1" applyFont="1" applyFill="1" applyBorder="1" applyAlignment="1" applyProtection="1">
      <alignment vertical="center"/>
      <protection/>
    </xf>
    <xf numFmtId="0" fontId="0" fillId="24" borderId="0" xfId="0" applyFill="1" applyAlignment="1" applyProtection="1">
      <alignment vertical="center"/>
      <protection/>
    </xf>
    <xf numFmtId="0" fontId="0" fillId="24" borderId="0" xfId="0" applyFont="1" applyFill="1" applyAlignment="1" applyProtection="1">
      <alignment vertical="center"/>
      <protection/>
    </xf>
    <xf numFmtId="0" fontId="0" fillId="24" borderId="20" xfId="0" applyNumberFormat="1" applyFont="1" applyFill="1" applyBorder="1" applyAlignment="1" applyProtection="1">
      <alignment horizontal="center" vertical="top"/>
      <protection/>
    </xf>
    <xf numFmtId="0" fontId="3" fillId="24" borderId="37" xfId="0" applyNumberFormat="1" applyFont="1" applyFill="1" applyBorder="1" applyAlignment="1" applyProtection="1">
      <alignment vertical="top"/>
      <protection/>
    </xf>
    <xf numFmtId="180" fontId="3" fillId="4" borderId="37" xfId="0" applyNumberFormat="1" applyFont="1" applyFill="1" applyBorder="1" applyAlignment="1" applyProtection="1">
      <alignment vertical="top"/>
      <protection/>
    </xf>
    <xf numFmtId="0" fontId="3" fillId="24" borderId="0" xfId="0" applyFont="1" applyFill="1" applyBorder="1" applyAlignment="1" applyProtection="1">
      <alignment vertical="top"/>
      <protection/>
    </xf>
    <xf numFmtId="0" fontId="26" fillId="24" borderId="0" xfId="0" applyFont="1" applyFill="1" applyBorder="1" applyAlignment="1" applyProtection="1">
      <alignment vertical="top"/>
      <protection/>
    </xf>
    <xf numFmtId="0" fontId="0" fillId="24" borderId="0" xfId="0" applyNumberFormat="1" applyFont="1" applyFill="1" applyBorder="1" applyAlignment="1" applyProtection="1">
      <alignment vertical="top"/>
      <protection/>
    </xf>
    <xf numFmtId="0" fontId="0" fillId="24" borderId="28" xfId="0" applyNumberFormat="1" applyFont="1" applyFill="1" applyBorder="1" applyAlignment="1" applyProtection="1">
      <alignment horizontal="left" vertical="top"/>
      <protection/>
    </xf>
    <xf numFmtId="0" fontId="0" fillId="0" borderId="78" xfId="0" applyNumberFormat="1" applyFont="1" applyFill="1" applyBorder="1" applyAlignment="1" applyProtection="1">
      <alignment vertical="top"/>
      <protection/>
    </xf>
    <xf numFmtId="0" fontId="0" fillId="0" borderId="79" xfId="0" applyNumberFormat="1" applyFont="1" applyFill="1" applyBorder="1" applyAlignment="1" applyProtection="1">
      <alignment vertical="top"/>
      <protection/>
    </xf>
    <xf numFmtId="0" fontId="0" fillId="0" borderId="80" xfId="0" applyNumberFormat="1" applyFont="1" applyFill="1" applyBorder="1" applyAlignment="1" applyProtection="1">
      <alignment vertical="top"/>
      <protection/>
    </xf>
    <xf numFmtId="0" fontId="0" fillId="4" borderId="11" xfId="0" applyNumberFormat="1" applyFont="1" applyFill="1" applyBorder="1" applyAlignment="1" applyProtection="1">
      <alignment vertical="top" wrapText="1"/>
      <protection/>
    </xf>
    <xf numFmtId="49" fontId="0" fillId="24" borderId="0" xfId="0" applyNumberFormat="1" applyFont="1" applyFill="1" applyBorder="1" applyAlignment="1" applyProtection="1">
      <alignment horizontal="left" vertical="top"/>
      <protection/>
    </xf>
    <xf numFmtId="0" fontId="24" fillId="24" borderId="0" xfId="0" applyFont="1" applyFill="1" applyBorder="1" applyAlignment="1" applyProtection="1">
      <alignment horizontal="center" vertical="top"/>
      <protection/>
    </xf>
    <xf numFmtId="0" fontId="0" fillId="24" borderId="0" xfId="0" applyFont="1" applyFill="1" applyBorder="1" applyAlignment="1" applyProtection="1">
      <alignment horizontal="center" vertical="top"/>
      <protection/>
    </xf>
    <xf numFmtId="0" fontId="5" fillId="24" borderId="0" xfId="61" applyFill="1" applyBorder="1" applyAlignment="1" applyProtection="1">
      <alignment horizontal="center" vertical="top"/>
      <protection/>
    </xf>
    <xf numFmtId="0" fontId="0" fillId="24" borderId="81" xfId="0" applyFill="1" applyBorder="1" applyAlignment="1" applyProtection="1">
      <alignment vertical="top"/>
      <protection/>
    </xf>
    <xf numFmtId="0" fontId="0" fillId="24" borderId="82" xfId="0" applyFill="1" applyBorder="1" applyAlignment="1" applyProtection="1">
      <alignment vertical="top"/>
      <protection/>
    </xf>
    <xf numFmtId="0" fontId="0" fillId="24" borderId="83" xfId="0" applyFill="1" applyBorder="1" applyAlignment="1" applyProtection="1">
      <alignment vertical="top"/>
      <protection/>
    </xf>
    <xf numFmtId="0" fontId="0" fillId="4" borderId="82" xfId="0" applyFill="1" applyBorder="1" applyAlignment="1" applyProtection="1">
      <alignment vertical="top"/>
      <protection/>
    </xf>
    <xf numFmtId="0" fontId="0" fillId="4" borderId="84" xfId="0" applyFill="1" applyBorder="1" applyAlignment="1" applyProtection="1">
      <alignment vertical="top"/>
      <protection/>
    </xf>
    <xf numFmtId="0" fontId="0" fillId="24" borderId="38" xfId="0" applyFill="1" applyBorder="1" applyAlignment="1" applyProtection="1">
      <alignment vertical="top"/>
      <protection/>
    </xf>
    <xf numFmtId="0" fontId="0" fillId="24" borderId="20" xfId="0" applyFill="1" applyBorder="1" applyAlignment="1" applyProtection="1">
      <alignment vertical="top"/>
      <protection/>
    </xf>
    <xf numFmtId="0" fontId="0" fillId="24" borderId="29" xfId="0" applyFill="1" applyBorder="1" applyAlignment="1" applyProtection="1">
      <alignment vertical="top"/>
      <protection/>
    </xf>
    <xf numFmtId="0" fontId="0" fillId="4" borderId="20" xfId="0" applyFill="1" applyBorder="1" applyAlignment="1" applyProtection="1">
      <alignment vertical="top"/>
      <protection/>
    </xf>
    <xf numFmtId="0" fontId="0" fillId="4" borderId="21" xfId="0" applyFill="1" applyBorder="1" applyAlignment="1" applyProtection="1">
      <alignment vertical="top"/>
      <protection/>
    </xf>
    <xf numFmtId="0" fontId="0" fillId="24" borderId="10" xfId="0" applyFill="1" applyBorder="1" applyAlignment="1" applyProtection="1">
      <alignment vertical="top"/>
      <protection/>
    </xf>
    <xf numFmtId="0" fontId="3" fillId="10" borderId="64" xfId="0" applyNumberFormat="1" applyFont="1" applyFill="1" applyBorder="1" applyAlignment="1" applyProtection="1">
      <alignment horizontal="left" vertical="center" wrapText="1"/>
      <protection/>
    </xf>
    <xf numFmtId="0" fontId="40" fillId="24" borderId="85" xfId="0" applyNumberFormat="1" applyFont="1" applyFill="1" applyBorder="1" applyAlignment="1" applyProtection="1">
      <alignment horizontal="left" vertical="top" wrapText="1"/>
      <protection/>
    </xf>
    <xf numFmtId="0" fontId="0" fillId="24" borderId="0" xfId="0" applyFill="1" applyAlignment="1" applyProtection="1">
      <alignment horizontal="left" vertical="top" wrapText="1"/>
      <protection/>
    </xf>
    <xf numFmtId="0" fontId="40" fillId="24" borderId="0" xfId="0" applyNumberFormat="1" applyFont="1" applyFill="1" applyAlignment="1" applyProtection="1">
      <alignment horizontal="left" vertical="top" wrapText="1"/>
      <protection/>
    </xf>
    <xf numFmtId="0" fontId="31" fillId="24" borderId="0" xfId="0" applyNumberFormat="1" applyFont="1" applyFill="1" applyAlignment="1" applyProtection="1">
      <alignment horizontal="left" vertical="top" wrapText="1"/>
      <protection/>
    </xf>
    <xf numFmtId="0" fontId="27" fillId="24" borderId="0" xfId="0" applyFont="1" applyFill="1" applyAlignment="1" applyProtection="1">
      <alignment horizontal="left" vertical="top" wrapText="1"/>
      <protection/>
    </xf>
    <xf numFmtId="0" fontId="0" fillId="20" borderId="0" xfId="0" applyFill="1" applyAlignment="1" applyProtection="1">
      <alignment horizontal="left" vertical="top" wrapText="1"/>
      <protection/>
    </xf>
    <xf numFmtId="0" fontId="40" fillId="24" borderId="86" xfId="0" applyNumberFormat="1" applyFont="1" applyFill="1" applyBorder="1" applyAlignment="1" applyProtection="1">
      <alignment horizontal="left" vertical="top" wrapText="1"/>
      <protection/>
    </xf>
    <xf numFmtId="0" fontId="7" fillId="24" borderId="0" xfId="0" applyFont="1" applyFill="1" applyAlignment="1" applyProtection="1">
      <alignment horizontal="left" vertical="top" wrapText="1"/>
      <protection/>
    </xf>
    <xf numFmtId="0" fontId="32" fillId="24" borderId="0" xfId="0" applyFont="1" applyFill="1" applyAlignment="1" applyProtection="1">
      <alignment horizontal="left" vertical="top" wrapText="1"/>
      <protection/>
    </xf>
    <xf numFmtId="0" fontId="39" fillId="24" borderId="0" xfId="0" applyNumberFormat="1" applyFont="1" applyFill="1" applyBorder="1" applyAlignment="1" applyProtection="1">
      <alignment horizontal="left" vertical="top" wrapText="1"/>
      <protection/>
    </xf>
    <xf numFmtId="0" fontId="52" fillId="24" borderId="0" xfId="0" applyFont="1" applyFill="1" applyAlignment="1" applyProtection="1">
      <alignment horizontal="left" vertical="top" wrapText="1"/>
      <protection/>
    </xf>
    <xf numFmtId="0" fontId="3" fillId="24" borderId="0" xfId="0" applyFont="1" applyFill="1" applyAlignment="1" applyProtection="1">
      <alignment horizontal="left" vertical="top" wrapText="1"/>
      <protection/>
    </xf>
    <xf numFmtId="0" fontId="5" fillId="24" borderId="0" xfId="61" applyFill="1" applyAlignment="1" applyProtection="1">
      <alignment horizontal="left" vertical="top" wrapText="1"/>
      <protection/>
    </xf>
    <xf numFmtId="0" fontId="2" fillId="26" borderId="0" xfId="0" applyFont="1" applyFill="1" applyBorder="1" applyAlignment="1" applyProtection="1">
      <alignment horizontal="left" vertical="top" wrapText="1"/>
      <protection/>
    </xf>
    <xf numFmtId="0" fontId="3" fillId="24" borderId="10" xfId="0" applyFont="1" applyFill="1" applyBorder="1" applyAlignment="1" applyProtection="1">
      <alignment horizontal="left" vertical="top" wrapText="1"/>
      <protection/>
    </xf>
    <xf numFmtId="0" fontId="28" fillId="24" borderId="10" xfId="0" applyFont="1" applyFill="1" applyBorder="1" applyAlignment="1" applyProtection="1">
      <alignment horizontal="left" vertical="top" wrapText="1"/>
      <protection/>
    </xf>
    <xf numFmtId="0" fontId="1" fillId="0" borderId="0" xfId="74" applyAlignment="1" applyProtection="1">
      <alignment horizontal="center"/>
      <protection/>
    </xf>
    <xf numFmtId="14" fontId="0" fillId="18" borderId="87" xfId="0" applyNumberFormat="1" applyFill="1" applyBorder="1" applyAlignment="1" applyProtection="1">
      <alignment horizontal="center"/>
      <protection/>
    </xf>
    <xf numFmtId="0" fontId="30" fillId="21" borderId="77" xfId="61" applyFont="1" applyFill="1" applyBorder="1" applyAlignment="1" applyProtection="1">
      <alignment horizontal="left" vertical="top" wrapText="1"/>
      <protection/>
    </xf>
    <xf numFmtId="0" fontId="30" fillId="21" borderId="40" xfId="61" applyFont="1" applyFill="1" applyBorder="1" applyAlignment="1" applyProtection="1">
      <alignment horizontal="left" vertical="top" wrapText="1"/>
      <protection/>
    </xf>
    <xf numFmtId="0" fontId="30" fillId="21" borderId="39" xfId="61" applyFont="1" applyFill="1" applyBorder="1" applyAlignment="1" applyProtection="1">
      <alignment horizontal="left" vertical="top" wrapText="1"/>
      <protection/>
    </xf>
    <xf numFmtId="0" fontId="3" fillId="24" borderId="0" xfId="0" applyFont="1" applyFill="1" applyBorder="1" applyAlignment="1" applyProtection="1">
      <alignment horizontal="left" vertical="top" wrapText="1"/>
      <protection/>
    </xf>
    <xf numFmtId="0" fontId="0" fillId="24" borderId="12" xfId="0" applyFill="1" applyBorder="1" applyAlignment="1" applyProtection="1">
      <alignment horizontal="left" vertical="top" wrapText="1"/>
      <protection/>
    </xf>
    <xf numFmtId="0" fontId="6" fillId="24" borderId="0" xfId="0" applyFont="1" applyFill="1" applyAlignment="1" applyProtection="1">
      <alignment horizontal="left" vertical="top" wrapText="1"/>
      <protection/>
    </xf>
    <xf numFmtId="0" fontId="50" fillId="24" borderId="0" xfId="0" applyFont="1" applyFill="1" applyAlignment="1" applyProtection="1">
      <alignment horizontal="left" vertical="top" wrapText="1"/>
      <protection/>
    </xf>
    <xf numFmtId="0" fontId="49" fillId="24" borderId="0" xfId="0" applyFont="1" applyFill="1" applyAlignment="1" applyProtection="1">
      <alignment horizontal="left" vertical="top" wrapText="1"/>
      <protection/>
    </xf>
    <xf numFmtId="0" fontId="7" fillId="24" borderId="10" xfId="0" applyFont="1" applyFill="1" applyBorder="1" applyAlignment="1" applyProtection="1">
      <alignment horizontal="left" vertical="top" wrapText="1"/>
      <protection/>
    </xf>
    <xf numFmtId="0" fontId="49" fillId="24" borderId="88" xfId="0" applyFont="1" applyFill="1" applyBorder="1" applyAlignment="1" applyProtection="1">
      <alignment horizontal="left" vertical="top" wrapText="1"/>
      <protection/>
    </xf>
    <xf numFmtId="0" fontId="3" fillId="21" borderId="40" xfId="0" applyFont="1" applyFill="1" applyBorder="1" applyAlignment="1" applyProtection="1">
      <alignment horizontal="left" vertical="center" wrapText="1"/>
      <protection/>
    </xf>
    <xf numFmtId="0" fontId="5" fillId="21" borderId="89" xfId="61" applyFill="1" applyBorder="1" applyAlignment="1" applyProtection="1">
      <alignment horizontal="left" vertical="top" wrapText="1"/>
      <protection/>
    </xf>
    <xf numFmtId="0" fontId="5" fillId="21" borderId="90" xfId="61" applyFill="1" applyBorder="1" applyAlignment="1" applyProtection="1">
      <alignment horizontal="left" vertical="top" wrapText="1"/>
      <protection/>
    </xf>
    <xf numFmtId="0" fontId="5" fillId="21" borderId="67" xfId="61" applyFill="1" applyBorder="1" applyAlignment="1" applyProtection="1">
      <alignment horizontal="left" vertical="top" wrapText="1"/>
      <protection/>
    </xf>
    <xf numFmtId="0" fontId="5" fillId="21" borderId="73" xfId="61" applyFill="1" applyBorder="1" applyAlignment="1" applyProtection="1">
      <alignment horizontal="left" vertical="top" wrapText="1"/>
      <protection/>
    </xf>
    <xf numFmtId="0" fontId="28" fillId="24" borderId="0" xfId="0" applyFont="1" applyFill="1" applyAlignment="1" applyProtection="1">
      <alignment horizontal="left" vertical="top" wrapText="1"/>
      <protection/>
    </xf>
    <xf numFmtId="0" fontId="0" fillId="24" borderId="0" xfId="0" applyFont="1" applyFill="1" applyAlignment="1" applyProtection="1">
      <alignment horizontal="left" vertical="top" wrapText="1"/>
      <protection/>
    </xf>
    <xf numFmtId="0" fontId="0" fillId="24" borderId="91" xfId="0" applyFont="1" applyFill="1" applyBorder="1" applyAlignment="1" applyProtection="1">
      <alignment horizontal="left" vertical="top" wrapText="1"/>
      <protection/>
    </xf>
    <xf numFmtId="0" fontId="0" fillId="24" borderId="92" xfId="0" applyFont="1" applyFill="1" applyBorder="1" applyAlignment="1" applyProtection="1">
      <alignment horizontal="left" vertical="top" wrapText="1"/>
      <protection/>
    </xf>
    <xf numFmtId="0" fontId="0" fillId="24" borderId="93" xfId="0" applyFont="1" applyFill="1" applyBorder="1" applyAlignment="1" applyProtection="1">
      <alignment horizontal="left" vertical="top" wrapText="1"/>
      <protection/>
    </xf>
    <xf numFmtId="0" fontId="3" fillId="24" borderId="0" xfId="0" applyNumberFormat="1" applyFont="1" applyFill="1" applyBorder="1" applyAlignment="1" applyProtection="1">
      <alignment horizontal="left" vertical="top" wrapText="1"/>
      <protection/>
    </xf>
    <xf numFmtId="0" fontId="0" fillId="24" borderId="91" xfId="0" applyNumberFormat="1" applyFont="1" applyFill="1" applyBorder="1" applyAlignment="1" applyProtection="1">
      <alignment horizontal="left" vertical="top" wrapText="1"/>
      <protection/>
    </xf>
    <xf numFmtId="0" fontId="0" fillId="24" borderId="93" xfId="0" applyNumberFormat="1" applyFont="1" applyFill="1" applyBorder="1" applyAlignment="1" applyProtection="1">
      <alignment horizontal="left" vertical="top" wrapText="1"/>
      <protection/>
    </xf>
    <xf numFmtId="0" fontId="3" fillId="24" borderId="0" xfId="0" applyNumberFormat="1" applyFont="1" applyFill="1" applyAlignment="1" applyProtection="1">
      <alignment horizontal="left" vertical="top" wrapText="1"/>
      <protection/>
    </xf>
    <xf numFmtId="0" fontId="0" fillId="24" borderId="92" xfId="0" applyNumberFormat="1" applyFont="1" applyFill="1" applyBorder="1" applyAlignment="1" applyProtection="1">
      <alignment horizontal="left" vertical="top" wrapText="1"/>
      <protection/>
    </xf>
    <xf numFmtId="0" fontId="41" fillId="24" borderId="0" xfId="0" applyFont="1" applyFill="1" applyBorder="1" applyAlignment="1" applyProtection="1">
      <alignment horizontal="left" vertical="top" wrapText="1"/>
      <protection/>
    </xf>
    <xf numFmtId="0" fontId="3" fillId="24" borderId="28" xfId="0" applyNumberFormat="1" applyFont="1" applyFill="1" applyBorder="1" applyAlignment="1" applyProtection="1">
      <alignment horizontal="left" wrapText="1"/>
      <protection/>
    </xf>
    <xf numFmtId="0" fontId="3" fillId="24" borderId="94" xfId="0" applyNumberFormat="1" applyFont="1" applyFill="1" applyBorder="1" applyAlignment="1" applyProtection="1">
      <alignment horizontal="left" wrapText="1"/>
      <protection/>
    </xf>
    <xf numFmtId="0" fontId="3" fillId="24" borderId="10" xfId="0" applyNumberFormat="1" applyFont="1" applyFill="1" applyBorder="1" applyAlignment="1" applyProtection="1">
      <alignment horizontal="left" vertical="top" wrapText="1"/>
      <protection/>
    </xf>
    <xf numFmtId="0" fontId="3" fillId="0" borderId="94" xfId="0" applyNumberFormat="1" applyFont="1" applyFill="1" applyBorder="1" applyAlignment="1" applyProtection="1">
      <alignment horizontal="left" wrapText="1"/>
      <protection/>
    </xf>
    <xf numFmtId="0" fontId="7" fillId="24" borderId="0" xfId="0" applyNumberFormat="1" applyFont="1" applyFill="1" applyAlignment="1" applyProtection="1">
      <alignment horizontal="left" vertical="top" wrapText="1"/>
      <protection/>
    </xf>
    <xf numFmtId="0" fontId="42" fillId="24" borderId="93" xfId="0" applyNumberFormat="1" applyFont="1" applyFill="1" applyBorder="1" applyAlignment="1" applyProtection="1">
      <alignment horizontal="left" vertical="top" wrapText="1"/>
      <protection/>
    </xf>
    <xf numFmtId="0" fontId="3" fillId="24" borderId="32" xfId="0" applyNumberFormat="1" applyFont="1" applyFill="1" applyBorder="1" applyAlignment="1" applyProtection="1">
      <alignment horizontal="left" vertical="top" wrapText="1"/>
      <protection/>
    </xf>
    <xf numFmtId="0" fontId="0" fillId="24" borderId="32" xfId="0" applyNumberFormat="1" applyFont="1" applyFill="1" applyBorder="1" applyAlignment="1" applyProtection="1">
      <alignment horizontal="left" vertical="top" wrapText="1"/>
      <protection/>
    </xf>
    <xf numFmtId="0" fontId="0" fillId="24" borderId="22" xfId="0" applyNumberFormat="1" applyFont="1" applyFill="1" applyBorder="1" applyAlignment="1" applyProtection="1">
      <alignment horizontal="left" vertical="top" wrapText="1"/>
      <protection/>
    </xf>
    <xf numFmtId="0" fontId="3" fillId="24" borderId="0" xfId="0" applyFont="1" applyFill="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0" fontId="28" fillId="24" borderId="0" xfId="0" applyFont="1" applyFill="1" applyAlignment="1" applyProtection="1">
      <alignment horizontal="left" vertical="center" wrapText="1"/>
      <protection/>
    </xf>
    <xf numFmtId="0" fontId="7" fillId="24" borderId="0" xfId="0" applyFont="1" applyFill="1" applyAlignment="1" applyProtection="1">
      <alignment horizontal="left" vertical="center" wrapText="1"/>
      <protection/>
    </xf>
    <xf numFmtId="0" fontId="32" fillId="24" borderId="0" xfId="0" applyFont="1" applyFill="1" applyAlignment="1" applyProtection="1">
      <alignment horizontal="left" vertical="center" wrapText="1"/>
      <protection/>
    </xf>
    <xf numFmtId="0" fontId="3" fillId="24" borderId="22" xfId="0" applyNumberFormat="1" applyFont="1" applyFill="1" applyBorder="1" applyAlignment="1" applyProtection="1">
      <alignment horizontal="left" vertical="top" wrapText="1"/>
      <protection/>
    </xf>
    <xf numFmtId="0" fontId="3" fillId="24" borderId="0" xfId="0" applyNumberFormat="1" applyFont="1" applyFill="1" applyBorder="1" applyAlignment="1" applyProtection="1">
      <alignment horizontal="left" vertical="center" wrapText="1"/>
      <protection/>
    </xf>
    <xf numFmtId="0" fontId="0" fillId="24" borderId="32" xfId="0" applyNumberFormat="1" applyFont="1" applyFill="1" applyBorder="1" applyAlignment="1" applyProtection="1">
      <alignment horizontal="left" vertical="center" wrapText="1"/>
      <protection/>
    </xf>
    <xf numFmtId="0" fontId="7" fillId="24" borderId="10" xfId="0" applyFont="1" applyFill="1" applyBorder="1" applyAlignment="1" applyProtection="1">
      <alignment horizontal="left" vertical="center" wrapText="1"/>
      <protection/>
    </xf>
    <xf numFmtId="0" fontId="0" fillId="24" borderId="91" xfId="0" applyNumberFormat="1" applyFont="1" applyFill="1" applyBorder="1" applyAlignment="1" applyProtection="1">
      <alignment horizontal="left" vertical="center" wrapText="1"/>
      <protection/>
    </xf>
    <xf numFmtId="0" fontId="0" fillId="24" borderId="92" xfId="0" applyNumberFormat="1" applyFont="1" applyFill="1" applyBorder="1" applyAlignment="1" applyProtection="1">
      <alignment horizontal="left" vertical="center" wrapText="1"/>
      <protection/>
    </xf>
    <xf numFmtId="0" fontId="3" fillId="24" borderId="32" xfId="0" applyNumberFormat="1" applyFont="1" applyFill="1" applyBorder="1" applyAlignment="1" applyProtection="1">
      <alignment horizontal="left" vertical="center" wrapText="1"/>
      <protection/>
    </xf>
    <xf numFmtId="0" fontId="3" fillId="24" borderId="94" xfId="0" applyNumberFormat="1" applyFont="1" applyFill="1" applyBorder="1" applyAlignment="1" applyProtection="1">
      <alignment horizontal="left" vertical="top" wrapText="1"/>
      <protection/>
    </xf>
    <xf numFmtId="0" fontId="3" fillId="24" borderId="94" xfId="0" applyFont="1" applyFill="1" applyBorder="1" applyAlignment="1" applyProtection="1">
      <alignment horizontal="left" vertical="top" wrapText="1"/>
      <protection/>
    </xf>
    <xf numFmtId="0" fontId="7" fillId="24" borderId="0" xfId="0" applyFont="1" applyFill="1" applyBorder="1" applyAlignment="1" applyProtection="1">
      <alignment horizontal="left" vertical="top" wrapText="1"/>
      <protection/>
    </xf>
    <xf numFmtId="0" fontId="3" fillId="24" borderId="0" xfId="0" applyNumberFormat="1" applyFont="1" applyFill="1" applyBorder="1" applyAlignment="1" applyProtection="1">
      <alignment horizontal="left" vertical="top"/>
      <protection/>
    </xf>
    <xf numFmtId="0" fontId="0" fillId="24" borderId="0" xfId="0" applyNumberFormat="1" applyFont="1" applyFill="1" applyBorder="1" applyAlignment="1" applyProtection="1">
      <alignment horizontal="left" vertical="top" wrapText="1"/>
      <protection/>
    </xf>
    <xf numFmtId="0" fontId="7" fillId="24" borderId="0" xfId="0" applyNumberFormat="1" applyFont="1" applyFill="1" applyBorder="1" applyAlignment="1" applyProtection="1">
      <alignment horizontal="left" vertical="top" wrapText="1"/>
      <protection/>
    </xf>
    <xf numFmtId="0" fontId="53" fillId="24" borderId="0" xfId="0" applyNumberFormat="1" applyFont="1" applyFill="1" applyBorder="1" applyAlignment="1" applyProtection="1">
      <alignment horizontal="left" vertical="top" wrapText="1"/>
      <protection/>
    </xf>
    <xf numFmtId="0" fontId="53" fillId="24" borderId="0" xfId="0" applyFont="1" applyFill="1" applyBorder="1" applyAlignment="1" applyProtection="1">
      <alignment horizontal="left" vertical="top" wrapText="1"/>
      <protection/>
    </xf>
    <xf numFmtId="0" fontId="32" fillId="24" borderId="0" xfId="0" applyNumberFormat="1" applyFont="1" applyFill="1" applyBorder="1" applyAlignment="1" applyProtection="1">
      <alignment horizontal="left" vertical="top" wrapText="1"/>
      <protection/>
    </xf>
    <xf numFmtId="0" fontId="7" fillId="24" borderId="95" xfId="0" applyFont="1" applyFill="1" applyBorder="1" applyAlignment="1" applyProtection="1">
      <alignment horizontal="left" vertical="top" wrapText="1"/>
      <protection/>
    </xf>
    <xf numFmtId="0" fontId="7" fillId="24" borderId="93" xfId="0" applyFont="1" applyFill="1" applyBorder="1" applyAlignment="1" applyProtection="1">
      <alignment horizontal="left" vertical="top" wrapText="1"/>
      <protection/>
    </xf>
    <xf numFmtId="0" fontId="30" fillId="21" borderId="64" xfId="61" applyFont="1" applyFill="1" applyBorder="1" applyAlignment="1" applyProtection="1">
      <alignment horizontal="left" vertical="center" wrapText="1"/>
      <protection/>
    </xf>
    <xf numFmtId="0" fontId="0" fillId="27" borderId="0" xfId="0" applyFill="1" applyAlignment="1" applyProtection="1">
      <alignment/>
      <protection/>
    </xf>
    <xf numFmtId="0" fontId="37" fillId="24" borderId="0" xfId="0" applyNumberFormat="1" applyFont="1" applyFill="1" applyBorder="1" applyAlignment="1" applyProtection="1">
      <alignment vertical="top"/>
      <protection/>
    </xf>
    <xf numFmtId="0" fontId="2" fillId="26" borderId="0" xfId="0" applyFont="1" applyFill="1" applyBorder="1" applyAlignment="1" applyProtection="1">
      <alignment horizontal="left" vertical="center"/>
      <protection/>
    </xf>
    <xf numFmtId="0" fontId="37" fillId="24" borderId="0" xfId="0" applyNumberFormat="1" applyFont="1" applyFill="1" applyBorder="1" applyAlignment="1" applyProtection="1">
      <alignment/>
      <protection/>
    </xf>
    <xf numFmtId="0" fontId="37" fillId="0" borderId="0" xfId="0" applyNumberFormat="1" applyFont="1" applyFill="1" applyBorder="1" applyAlignment="1" applyProtection="1">
      <alignment vertical="top"/>
      <protection/>
    </xf>
    <xf numFmtId="0" fontId="0" fillId="2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3" fillId="24" borderId="0" xfId="0" applyFont="1" applyFill="1" applyAlignment="1" applyProtection="1">
      <alignment/>
      <protection/>
    </xf>
    <xf numFmtId="0" fontId="0" fillId="24" borderId="0" xfId="0" applyNumberFormat="1" applyFont="1" applyFill="1" applyBorder="1" applyAlignment="1" applyProtection="1">
      <alignment horizontal="right" vertical="top"/>
      <protection/>
    </xf>
    <xf numFmtId="0" fontId="37" fillId="24" borderId="0" xfId="0" applyFont="1" applyFill="1" applyAlignment="1" applyProtection="1">
      <alignment/>
      <protection/>
    </xf>
    <xf numFmtId="0" fontId="0" fillId="24" borderId="0" xfId="0" applyFill="1" applyAlignment="1" applyProtection="1">
      <alignment horizontal="left"/>
      <protection/>
    </xf>
    <xf numFmtId="0" fontId="0" fillId="28" borderId="11" xfId="0" applyNumberFormat="1" applyFont="1" applyFill="1" applyBorder="1" applyAlignment="1" applyProtection="1">
      <alignment horizontal="center" vertical="top"/>
      <protection locked="0"/>
    </xf>
    <xf numFmtId="0" fontId="0" fillId="24" borderId="10" xfId="0" applyFill="1" applyBorder="1" applyAlignment="1" applyProtection="1">
      <alignment/>
      <protection/>
    </xf>
    <xf numFmtId="0" fontId="37" fillId="0" borderId="0" xfId="0" applyFont="1" applyAlignment="1" applyProtection="1">
      <alignment wrapText="1"/>
      <protection/>
    </xf>
    <xf numFmtId="0" fontId="37" fillId="0" borderId="0" xfId="0" applyFont="1" applyAlignment="1" applyProtection="1">
      <alignment/>
      <protection/>
    </xf>
    <xf numFmtId="0" fontId="0" fillId="25" borderId="0" xfId="0" applyNumberFormat="1" applyFont="1" applyFill="1" applyBorder="1" applyAlignment="1" applyProtection="1">
      <alignment horizontal="center" vertical="top"/>
      <protection/>
    </xf>
    <xf numFmtId="0" fontId="0" fillId="25" borderId="0" xfId="0" applyFont="1" applyFill="1" applyAlignment="1" applyProtection="1">
      <alignment/>
      <protection/>
    </xf>
    <xf numFmtId="0" fontId="3" fillId="24" borderId="0" xfId="0" applyFont="1" applyFill="1" applyAlignment="1" applyProtection="1">
      <alignment vertical="center"/>
      <protection/>
    </xf>
    <xf numFmtId="0" fontId="2" fillId="26" borderId="0" xfId="0" applyFont="1" applyFill="1" applyBorder="1" applyAlignment="1" applyProtection="1">
      <alignment vertical="center"/>
      <protection/>
    </xf>
    <xf numFmtId="0" fontId="0" fillId="24" borderId="0" xfId="0" applyNumberFormat="1" applyFont="1" applyFill="1" applyBorder="1" applyAlignment="1" applyProtection="1">
      <alignment vertical="center"/>
      <protection/>
    </xf>
    <xf numFmtId="0" fontId="0" fillId="6" borderId="0" xfId="0" applyNumberFormat="1" applyFont="1" applyFill="1" applyBorder="1" applyAlignment="1" applyProtection="1">
      <alignment vertical="top"/>
      <protection/>
    </xf>
    <xf numFmtId="0" fontId="0" fillId="24" borderId="0" xfId="0" applyFill="1" applyBorder="1" applyAlignment="1" applyProtection="1">
      <alignment vertical="center"/>
      <protection/>
    </xf>
    <xf numFmtId="0" fontId="0" fillId="0" borderId="0" xfId="0" applyFont="1" applyAlignment="1" applyProtection="1">
      <alignment/>
      <protection/>
    </xf>
    <xf numFmtId="0" fontId="28" fillId="24" borderId="0" xfId="0" applyFont="1" applyFill="1" applyAlignment="1" applyProtection="1">
      <alignment horizontal="center" vertical="center"/>
      <protection/>
    </xf>
    <xf numFmtId="0" fontId="37" fillId="24" borderId="0" xfId="0" applyNumberFormat="1" applyFont="1" applyFill="1" applyBorder="1" applyAlignment="1" applyProtection="1">
      <alignment vertical="center"/>
      <protection/>
    </xf>
    <xf numFmtId="0" fontId="0" fillId="24" borderId="0" xfId="0" applyFill="1" applyBorder="1" applyAlignment="1" applyProtection="1">
      <alignment vertical="center" wrapText="1"/>
      <protection/>
    </xf>
    <xf numFmtId="0" fontId="0" fillId="6" borderId="0" xfId="0" applyFont="1" applyFill="1" applyAlignment="1" applyProtection="1">
      <alignment/>
      <protection/>
    </xf>
    <xf numFmtId="0" fontId="0" fillId="6" borderId="96" xfId="0" applyFont="1" applyFill="1" applyBorder="1" applyAlignment="1" applyProtection="1">
      <alignment horizontal="center" vertical="top"/>
      <protection/>
    </xf>
    <xf numFmtId="0" fontId="0" fillId="6" borderId="37" xfId="0" applyFont="1" applyFill="1" applyBorder="1" applyAlignment="1" applyProtection="1">
      <alignment horizontal="center"/>
      <protection/>
    </xf>
    <xf numFmtId="0" fontId="0" fillId="6" borderId="11" xfId="0" applyNumberFormat="1" applyFont="1" applyFill="1" applyBorder="1" applyAlignment="1" applyProtection="1">
      <alignment horizontal="center" vertical="top"/>
      <protection/>
    </xf>
    <xf numFmtId="0" fontId="0" fillId="6" borderId="11" xfId="0" applyNumberFormat="1" applyFont="1" applyFill="1" applyBorder="1" applyAlignment="1" applyProtection="1">
      <alignment vertical="top"/>
      <protection/>
    </xf>
    <xf numFmtId="0" fontId="0" fillId="24" borderId="97" xfId="0" applyNumberFormat="1" applyFont="1" applyFill="1" applyBorder="1" applyAlignment="1" applyProtection="1">
      <alignment vertical="top"/>
      <protection/>
    </xf>
    <xf numFmtId="0" fontId="0" fillId="6" borderId="0" xfId="0" applyNumberFormat="1" applyFont="1" applyFill="1" applyBorder="1" applyAlignment="1" applyProtection="1">
      <alignment horizontal="center" vertical="top"/>
      <protection/>
    </xf>
    <xf numFmtId="180" fontId="0" fillId="28" borderId="35" xfId="0" applyNumberFormat="1" applyFont="1" applyFill="1" applyBorder="1" applyAlignment="1" applyProtection="1">
      <alignment vertical="top"/>
      <protection locked="0"/>
    </xf>
    <xf numFmtId="180" fontId="0" fillId="28" borderId="98" xfId="0" applyNumberFormat="1" applyFont="1" applyFill="1" applyBorder="1" applyAlignment="1" applyProtection="1">
      <alignment vertical="top"/>
      <protection locked="0"/>
    </xf>
    <xf numFmtId="0" fontId="3" fillId="24" borderId="94" xfId="0" applyNumberFormat="1" applyFont="1" applyFill="1" applyBorder="1" applyAlignment="1" applyProtection="1">
      <alignment horizontal="center" wrapText="1"/>
      <protection/>
    </xf>
    <xf numFmtId="0" fontId="0" fillId="6" borderId="99" xfId="0" applyNumberFormat="1" applyFont="1" applyFill="1" applyBorder="1" applyAlignment="1" applyProtection="1">
      <alignment vertical="top"/>
      <protection/>
    </xf>
    <xf numFmtId="0" fontId="0" fillId="6" borderId="100" xfId="0" applyNumberFormat="1" applyFont="1" applyFill="1" applyBorder="1" applyAlignment="1" applyProtection="1">
      <alignment vertical="top"/>
      <protection/>
    </xf>
    <xf numFmtId="0" fontId="0" fillId="6" borderId="101" xfId="0" applyNumberFormat="1" applyFont="1" applyFill="1" applyBorder="1" applyAlignment="1" applyProtection="1">
      <alignment vertical="top"/>
      <protection/>
    </xf>
    <xf numFmtId="0" fontId="0" fillId="6" borderId="99" xfId="0" applyNumberFormat="1" applyFont="1" applyFill="1" applyBorder="1" applyAlignment="1" applyProtection="1">
      <alignment horizontal="center" vertical="top"/>
      <protection/>
    </xf>
    <xf numFmtId="0" fontId="0" fillId="6" borderId="100" xfId="0" applyNumberFormat="1" applyFont="1" applyFill="1" applyBorder="1" applyAlignment="1" applyProtection="1">
      <alignment horizontal="center" vertical="top"/>
      <protection/>
    </xf>
    <xf numFmtId="0" fontId="0" fillId="6" borderId="101" xfId="0" applyNumberFormat="1" applyFont="1" applyFill="1" applyBorder="1" applyAlignment="1" applyProtection="1">
      <alignment horizontal="center" vertical="top"/>
      <protection/>
    </xf>
    <xf numFmtId="0" fontId="0" fillId="6" borderId="0" xfId="0" applyNumberFormat="1" applyFont="1" applyFill="1" applyBorder="1" applyAlignment="1" applyProtection="1">
      <alignment horizontal="left" vertical="top"/>
      <protection/>
    </xf>
    <xf numFmtId="0" fontId="0" fillId="0" borderId="102" xfId="0" applyNumberFormat="1" applyFont="1" applyFill="1" applyBorder="1" applyAlignment="1" applyProtection="1">
      <alignment vertical="top"/>
      <protection/>
    </xf>
    <xf numFmtId="0" fontId="0" fillId="0" borderId="103" xfId="0" applyNumberFormat="1" applyFont="1" applyFill="1" applyBorder="1" applyAlignment="1" applyProtection="1">
      <alignment vertical="top"/>
      <protection/>
    </xf>
    <xf numFmtId="0" fontId="0" fillId="0" borderId="103" xfId="0" applyNumberFormat="1" applyFont="1" applyFill="1" applyBorder="1" applyAlignment="1" applyProtection="1">
      <alignment horizontal="center" vertical="top"/>
      <protection/>
    </xf>
    <xf numFmtId="0" fontId="0" fillId="0" borderId="104" xfId="0" applyNumberFormat="1" applyFont="1" applyFill="1" applyBorder="1" applyAlignment="1" applyProtection="1">
      <alignment horizontal="center" vertical="top"/>
      <protection/>
    </xf>
    <xf numFmtId="2" fontId="0" fillId="25" borderId="0" xfId="0" applyNumberFormat="1" applyFont="1" applyFill="1" applyBorder="1" applyAlignment="1" applyProtection="1">
      <alignment vertical="top"/>
      <protection/>
    </xf>
    <xf numFmtId="0" fontId="0" fillId="0" borderId="0" xfId="0" applyFont="1" applyBorder="1" applyAlignment="1" applyProtection="1">
      <alignment/>
      <protection/>
    </xf>
    <xf numFmtId="0" fontId="0" fillId="25" borderId="0" xfId="0" applyFont="1" applyFill="1" applyAlignment="1" applyProtection="1">
      <alignment vertical="center"/>
      <protection/>
    </xf>
    <xf numFmtId="0" fontId="0" fillId="0" borderId="0" xfId="0" applyNumberFormat="1" applyFont="1" applyFill="1" applyBorder="1" applyAlignment="1" applyProtection="1">
      <alignment vertical="top"/>
      <protection/>
    </xf>
    <xf numFmtId="0" fontId="0" fillId="20" borderId="0" xfId="0" applyFont="1" applyFill="1" applyBorder="1" applyAlignment="1" applyProtection="1">
      <alignment horizontal="left" vertical="top" wrapText="1"/>
      <protection/>
    </xf>
    <xf numFmtId="0" fontId="0" fillId="6" borderId="0" xfId="0" applyFont="1" applyFill="1" applyBorder="1" applyAlignment="1" applyProtection="1">
      <alignment horizontal="center"/>
      <protection/>
    </xf>
    <xf numFmtId="0" fontId="0"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0" fillId="24" borderId="97" xfId="0" applyNumberFormat="1" applyFont="1" applyFill="1" applyBorder="1" applyAlignment="1" applyProtection="1">
      <alignment horizontal="left" vertical="center" wrapText="1"/>
      <protection/>
    </xf>
    <xf numFmtId="0" fontId="0" fillId="24" borderId="97" xfId="0" applyNumberFormat="1" applyFont="1" applyFill="1" applyBorder="1" applyAlignment="1" applyProtection="1">
      <alignment horizontal="center" vertical="top"/>
      <protection/>
    </xf>
    <xf numFmtId="0" fontId="0" fillId="25" borderId="0" xfId="0" applyNumberFormat="1" applyFont="1" applyFill="1" applyBorder="1" applyAlignment="1" applyProtection="1">
      <alignment vertical="center"/>
      <protection/>
    </xf>
    <xf numFmtId="0" fontId="0" fillId="24" borderId="0" xfId="0" applyFill="1" applyAlignment="1" applyProtection="1">
      <alignment wrapText="1"/>
      <protection/>
    </xf>
    <xf numFmtId="180" fontId="0" fillId="28" borderId="105" xfId="0" applyNumberFormat="1" applyFont="1" applyFill="1" applyBorder="1" applyAlignment="1" applyProtection="1">
      <alignment vertical="top"/>
      <protection locked="0"/>
    </xf>
    <xf numFmtId="14" fontId="3" fillId="24" borderId="97" xfId="0" applyNumberFormat="1" applyFont="1" applyFill="1" applyBorder="1" applyAlignment="1" applyProtection="1">
      <alignment horizontal="center" vertical="top"/>
      <protection/>
    </xf>
    <xf numFmtId="0" fontId="0" fillId="4" borderId="74" xfId="0" applyFont="1" applyFill="1" applyBorder="1" applyAlignment="1" applyProtection="1">
      <alignment/>
      <protection/>
    </xf>
    <xf numFmtId="0" fontId="31" fillId="4" borderId="88" xfId="0" applyNumberFormat="1" applyFont="1" applyFill="1" applyBorder="1" applyAlignment="1" applyProtection="1">
      <alignment vertical="top"/>
      <protection/>
    </xf>
    <xf numFmtId="0" fontId="0" fillId="24" borderId="0" xfId="0" applyFont="1" applyFill="1" applyAlignment="1" applyProtection="1">
      <alignment/>
      <protection/>
    </xf>
    <xf numFmtId="0" fontId="37" fillId="24" borderId="0" xfId="0" applyFont="1" applyFill="1" applyAlignment="1" applyProtection="1">
      <alignment/>
      <protection/>
    </xf>
    <xf numFmtId="0" fontId="0" fillId="24" borderId="13" xfId="0" applyFont="1" applyFill="1" applyBorder="1" applyAlignment="1" applyProtection="1">
      <alignment horizontal="right" vertical="top" indent="1"/>
      <protection/>
    </xf>
    <xf numFmtId="0" fontId="0" fillId="24" borderId="14" xfId="0" applyFont="1" applyFill="1" applyBorder="1" applyAlignment="1" applyProtection="1">
      <alignment horizontal="right" vertical="top" indent="1"/>
      <protection/>
    </xf>
    <xf numFmtId="0" fontId="0" fillId="24" borderId="15" xfId="0" applyFont="1" applyFill="1" applyBorder="1" applyAlignment="1" applyProtection="1">
      <alignment horizontal="right" vertical="top" indent="1"/>
      <protection/>
    </xf>
    <xf numFmtId="0" fontId="3" fillId="24" borderId="0" xfId="0" applyFont="1" applyFill="1" applyAlignment="1" applyProtection="1">
      <alignment horizontal="left" vertical="center"/>
      <protection/>
    </xf>
    <xf numFmtId="0" fontId="1" fillId="28" borderId="0" xfId="74" applyFill="1" applyProtection="1">
      <alignment/>
      <protection/>
    </xf>
    <xf numFmtId="0" fontId="1" fillId="0" borderId="11" xfId="74" applyBorder="1" applyAlignment="1" applyProtection="1">
      <alignment horizontal="center" vertical="top"/>
      <protection/>
    </xf>
    <xf numFmtId="0" fontId="1" fillId="28" borderId="0" xfId="74" applyFill="1" applyAlignment="1" applyProtection="1">
      <alignment horizontal="center"/>
      <protection locked="0"/>
    </xf>
    <xf numFmtId="0" fontId="1" fillId="28" borderId="0" xfId="74" applyFill="1" applyProtection="1">
      <alignment/>
      <protection locked="0"/>
    </xf>
    <xf numFmtId="189" fontId="0" fillId="29" borderId="0" xfId="0" applyNumberFormat="1" applyFill="1" applyAlignment="1" applyProtection="1">
      <alignment/>
      <protection/>
    </xf>
    <xf numFmtId="0" fontId="3" fillId="29" borderId="0" xfId="0" applyFont="1" applyFill="1" applyAlignment="1" applyProtection="1">
      <alignment horizontal="right" wrapText="1"/>
      <protection/>
    </xf>
    <xf numFmtId="189" fontId="0" fillId="0" borderId="11" xfId="0" applyNumberFormat="1" applyFill="1" applyBorder="1" applyAlignment="1" applyProtection="1">
      <alignment/>
      <protection/>
    </xf>
    <xf numFmtId="0" fontId="3" fillId="24" borderId="94" xfId="0" applyNumberFormat="1" applyFont="1" applyFill="1" applyBorder="1" applyAlignment="1" applyProtection="1">
      <alignment wrapText="1"/>
      <protection/>
    </xf>
    <xf numFmtId="180" fontId="0" fillId="30" borderId="79" xfId="0" applyNumberFormat="1" applyFont="1" applyFill="1" applyBorder="1" applyAlignment="1" applyProtection="1">
      <alignment vertical="top"/>
      <protection/>
    </xf>
    <xf numFmtId="180" fontId="0" fillId="30" borderId="98" xfId="0" applyNumberFormat="1" applyFont="1" applyFill="1" applyBorder="1" applyAlignment="1" applyProtection="1">
      <alignment vertical="top"/>
      <protection/>
    </xf>
    <xf numFmtId="180" fontId="0" fillId="30" borderId="35" xfId="0" applyNumberFormat="1" applyFont="1" applyFill="1" applyBorder="1" applyAlignment="1" applyProtection="1">
      <alignment vertical="top"/>
      <protection/>
    </xf>
    <xf numFmtId="180" fontId="0" fillId="30" borderId="34" xfId="0" applyNumberFormat="1" applyFont="1" applyFill="1" applyBorder="1" applyAlignment="1" applyProtection="1">
      <alignment vertical="top"/>
      <protection/>
    </xf>
    <xf numFmtId="180" fontId="0" fillId="30" borderId="105" xfId="0" applyNumberFormat="1" applyFont="1" applyFill="1" applyBorder="1" applyAlignment="1" applyProtection="1">
      <alignment vertical="top"/>
      <protection/>
    </xf>
    <xf numFmtId="0" fontId="0" fillId="25" borderId="0" xfId="0" applyNumberFormat="1" applyFont="1" applyFill="1" applyBorder="1" applyAlignment="1" applyProtection="1">
      <alignment wrapText="1"/>
      <protection/>
    </xf>
    <xf numFmtId="0" fontId="0" fillId="24" borderId="1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wrapText="1"/>
      <protection/>
    </xf>
    <xf numFmtId="0" fontId="37" fillId="24" borderId="0" xfId="0" applyFont="1" applyFill="1" applyAlignment="1" applyProtection="1">
      <alignment wrapText="1"/>
      <protection/>
    </xf>
    <xf numFmtId="0" fontId="3" fillId="24" borderId="0" xfId="0" applyFont="1" applyFill="1" applyAlignment="1" applyProtection="1">
      <alignment wrapText="1"/>
      <protection/>
    </xf>
    <xf numFmtId="0" fontId="31" fillId="4" borderId="106" xfId="0" applyNumberFormat="1" applyFont="1" applyFill="1" applyBorder="1" applyAlignment="1" applyProtection="1">
      <alignment horizontal="center" vertical="top"/>
      <protection/>
    </xf>
    <xf numFmtId="0" fontId="31" fillId="4" borderId="107" xfId="0" applyNumberFormat="1" applyFont="1" applyFill="1" applyBorder="1" applyAlignment="1" applyProtection="1">
      <alignment horizontal="center" vertical="top"/>
      <protection/>
    </xf>
    <xf numFmtId="0" fontId="31" fillId="4" borderId="108" xfId="0" applyNumberFormat="1" applyFont="1" applyFill="1" applyBorder="1" applyAlignment="1" applyProtection="1">
      <alignment horizontal="center" vertical="top"/>
      <protection/>
    </xf>
    <xf numFmtId="0" fontId="31" fillId="4" borderId="109" xfId="0" applyNumberFormat="1" applyFont="1" applyFill="1" applyBorder="1" applyAlignment="1" applyProtection="1">
      <alignment horizontal="center" vertical="top"/>
      <protection/>
    </xf>
    <xf numFmtId="0" fontId="0" fillId="0" borderId="0" xfId="0" applyAlignment="1" applyProtection="1">
      <alignment vertical="center" wrapText="1"/>
      <protection/>
    </xf>
    <xf numFmtId="0" fontId="0" fillId="0" borderId="0" xfId="0" applyBorder="1" applyAlignment="1" applyProtection="1">
      <alignment vertical="center" wrapText="1"/>
      <protection/>
    </xf>
    <xf numFmtId="0" fontId="0" fillId="31" borderId="0" xfId="0" applyFont="1" applyFill="1" applyBorder="1" applyAlignment="1" applyProtection="1">
      <alignment vertical="top"/>
      <protection/>
    </xf>
    <xf numFmtId="0" fontId="0" fillId="31" borderId="0" xfId="0" applyFill="1" applyBorder="1" applyAlignment="1" applyProtection="1">
      <alignment vertical="top" wrapText="1"/>
      <protection/>
    </xf>
    <xf numFmtId="0" fontId="0" fillId="31" borderId="19" xfId="0" applyNumberFormat="1" applyFont="1" applyFill="1" applyBorder="1" applyAlignment="1" applyProtection="1">
      <alignment vertical="top"/>
      <protection/>
    </xf>
    <xf numFmtId="0" fontId="37" fillId="24" borderId="19" xfId="0" applyNumberFormat="1" applyFont="1" applyFill="1" applyBorder="1" applyAlignment="1" applyProtection="1">
      <alignment vertical="top"/>
      <protection/>
    </xf>
    <xf numFmtId="0" fontId="0" fillId="24" borderId="19" xfId="0" applyNumberFormat="1" applyFont="1" applyFill="1" applyBorder="1" applyAlignment="1" applyProtection="1">
      <alignment vertical="top"/>
      <protection/>
    </xf>
    <xf numFmtId="0" fontId="0" fillId="24" borderId="0" xfId="0" applyFont="1" applyFill="1" applyAlignment="1" applyProtection="1">
      <alignment wrapText="1"/>
      <protection/>
    </xf>
    <xf numFmtId="0" fontId="0" fillId="24" borderId="110" xfId="0" applyNumberFormat="1" applyFont="1" applyFill="1" applyBorder="1" applyAlignment="1" applyProtection="1">
      <alignment horizontal="center" vertical="top"/>
      <protection/>
    </xf>
    <xf numFmtId="180" fontId="0" fillId="30" borderId="103" xfId="0" applyNumberFormat="1" applyFont="1" applyFill="1" applyBorder="1" applyAlignment="1" applyProtection="1">
      <alignment vertical="top"/>
      <protection/>
    </xf>
    <xf numFmtId="180" fontId="0" fillId="28" borderId="103" xfId="0" applyNumberFormat="1" applyFont="1" applyFill="1" applyBorder="1" applyAlignment="1" applyProtection="1">
      <alignment vertical="top"/>
      <protection locked="0"/>
    </xf>
    <xf numFmtId="0" fontId="3" fillId="24" borderId="39" xfId="0" applyFont="1" applyFill="1" applyBorder="1" applyAlignment="1" applyProtection="1">
      <alignment/>
      <protection/>
    </xf>
    <xf numFmtId="0" fontId="3" fillId="24" borderId="0" xfId="0" applyFont="1" applyFill="1" applyBorder="1" applyAlignment="1" applyProtection="1">
      <alignment/>
      <protection/>
    </xf>
    <xf numFmtId="0" fontId="3" fillId="31" borderId="39" xfId="0" applyNumberFormat="1" applyFont="1" applyFill="1" applyBorder="1" applyAlignment="1" applyProtection="1">
      <alignment horizontal="center" wrapText="1"/>
      <protection/>
    </xf>
    <xf numFmtId="0" fontId="0" fillId="24" borderId="111" xfId="0" applyNumberFormat="1" applyFont="1" applyFill="1" applyBorder="1" applyAlignment="1" applyProtection="1">
      <alignment horizontal="center" vertical="top"/>
      <protection/>
    </xf>
    <xf numFmtId="0" fontId="3" fillId="31" borderId="112" xfId="0" applyNumberFormat="1" applyFont="1" applyFill="1" applyBorder="1" applyAlignment="1" applyProtection="1">
      <alignment horizontal="center" wrapText="1"/>
      <protection/>
    </xf>
    <xf numFmtId="0" fontId="3" fillId="31" borderId="113" xfId="0" applyNumberFormat="1" applyFont="1" applyFill="1" applyBorder="1" applyAlignment="1" applyProtection="1">
      <alignment horizontal="center" wrapText="1"/>
      <protection/>
    </xf>
    <xf numFmtId="0" fontId="3" fillId="31" borderId="94" xfId="0" applyNumberFormat="1" applyFont="1" applyFill="1" applyBorder="1" applyAlignment="1" applyProtection="1">
      <alignment horizontal="center" wrapText="1"/>
      <protection/>
    </xf>
    <xf numFmtId="0" fontId="0" fillId="32" borderId="0" xfId="0" applyNumberFormat="1" applyFont="1" applyFill="1" applyBorder="1" applyAlignment="1" applyProtection="1">
      <alignment vertical="top"/>
      <protection/>
    </xf>
    <xf numFmtId="0" fontId="3" fillId="32" borderId="0" xfId="0" applyNumberFormat="1" applyFont="1" applyFill="1" applyBorder="1" applyAlignment="1" applyProtection="1">
      <alignment horizontal="center" vertical="top"/>
      <protection/>
    </xf>
    <xf numFmtId="0" fontId="3" fillId="32" borderId="37" xfId="0" applyNumberFormat="1" applyFont="1" applyFill="1" applyBorder="1" applyAlignment="1" applyProtection="1">
      <alignment vertical="top"/>
      <protection/>
    </xf>
    <xf numFmtId="195" fontId="0" fillId="32" borderId="103" xfId="72" applyNumberFormat="1" applyFont="1" applyFill="1" applyBorder="1" applyAlignment="1" applyProtection="1">
      <alignment vertical="top"/>
      <protection/>
    </xf>
    <xf numFmtId="180" fontId="0" fillId="32" borderId="79" xfId="0" applyNumberFormat="1" applyFont="1" applyFill="1" applyBorder="1" applyAlignment="1" applyProtection="1">
      <alignment vertical="top"/>
      <protection/>
    </xf>
    <xf numFmtId="195" fontId="0" fillId="32" borderId="98" xfId="72" applyNumberFormat="1" applyFont="1" applyFill="1" applyBorder="1" applyAlignment="1" applyProtection="1">
      <alignment vertical="top"/>
      <protection/>
    </xf>
    <xf numFmtId="180" fontId="0" fillId="32" borderId="98" xfId="0" applyNumberFormat="1" applyFont="1" applyFill="1" applyBorder="1" applyAlignment="1" applyProtection="1">
      <alignment vertical="top"/>
      <protection/>
    </xf>
    <xf numFmtId="195" fontId="0" fillId="32" borderId="35" xfId="72" applyNumberFormat="1" applyFont="1" applyFill="1" applyBorder="1" applyAlignment="1" applyProtection="1">
      <alignment vertical="top"/>
      <protection/>
    </xf>
    <xf numFmtId="180" fontId="0" fillId="32" borderId="35" xfId="0" applyNumberFormat="1" applyFont="1" applyFill="1" applyBorder="1" applyAlignment="1" applyProtection="1">
      <alignment vertical="top"/>
      <protection/>
    </xf>
    <xf numFmtId="195" fontId="0" fillId="32" borderId="34" xfId="72" applyNumberFormat="1" applyFont="1" applyFill="1" applyBorder="1" applyAlignment="1" applyProtection="1">
      <alignment vertical="top"/>
      <protection/>
    </xf>
    <xf numFmtId="180" fontId="0" fillId="32" borderId="34" xfId="0" applyNumberFormat="1" applyFont="1" applyFill="1" applyBorder="1" applyAlignment="1" applyProtection="1">
      <alignment vertical="top"/>
      <protection/>
    </xf>
    <xf numFmtId="195" fontId="0" fillId="32" borderId="105" xfId="72" applyNumberFormat="1" applyFont="1" applyFill="1" applyBorder="1" applyAlignment="1" applyProtection="1">
      <alignment vertical="top"/>
      <protection/>
    </xf>
    <xf numFmtId="180" fontId="0" fillId="32" borderId="105" xfId="0" applyNumberFormat="1" applyFont="1" applyFill="1" applyBorder="1" applyAlignment="1" applyProtection="1">
      <alignment vertical="top"/>
      <protection/>
    </xf>
    <xf numFmtId="195" fontId="0" fillId="32" borderId="103" xfId="72" applyNumberFormat="1" applyFont="1" applyFill="1" applyBorder="1" applyAlignment="1" applyProtection="1">
      <alignment vertical="top"/>
      <protection/>
    </xf>
    <xf numFmtId="180" fontId="0" fillId="32" borderId="103" xfId="0" applyNumberFormat="1" applyFont="1" applyFill="1" applyBorder="1" applyAlignment="1" applyProtection="1">
      <alignment vertical="top"/>
      <protection/>
    </xf>
    <xf numFmtId="0" fontId="3" fillId="32" borderId="78" xfId="0" applyNumberFormat="1" applyFont="1" applyFill="1" applyBorder="1" applyAlignment="1" applyProtection="1">
      <alignment horizontal="center" wrapText="1"/>
      <protection/>
    </xf>
    <xf numFmtId="0" fontId="3" fillId="32" borderId="0" xfId="0" applyNumberFormat="1" applyFont="1" applyFill="1" applyBorder="1" applyAlignment="1" applyProtection="1">
      <alignment horizontal="center" wrapText="1"/>
      <protection/>
    </xf>
    <xf numFmtId="0" fontId="0" fillId="32" borderId="0" xfId="0" applyNumberFormat="1" applyFont="1" applyFill="1" applyBorder="1" applyAlignment="1" applyProtection="1">
      <alignment vertical="top"/>
      <protection/>
    </xf>
    <xf numFmtId="0" fontId="0" fillId="32" borderId="0" xfId="0" applyFont="1" applyFill="1" applyAlignment="1" applyProtection="1">
      <alignment/>
      <protection/>
    </xf>
    <xf numFmtId="0" fontId="0" fillId="32" borderId="96" xfId="0" applyFont="1" applyFill="1" applyBorder="1" applyAlignment="1" applyProtection="1">
      <alignment horizontal="center" vertical="top" wrapText="1"/>
      <protection/>
    </xf>
    <xf numFmtId="0" fontId="3" fillId="32" borderId="77" xfId="0" applyNumberFormat="1" applyFont="1" applyFill="1" applyBorder="1" applyAlignment="1" applyProtection="1">
      <alignment horizontal="center" vertical="center"/>
      <protection/>
    </xf>
    <xf numFmtId="0" fontId="0" fillId="32" borderId="11" xfId="0" applyNumberFormat="1" applyFont="1" applyFill="1" applyBorder="1" applyAlignment="1" applyProtection="1">
      <alignment vertical="center"/>
      <protection/>
    </xf>
    <xf numFmtId="0" fontId="0" fillId="32" borderId="0" xfId="0" applyNumberFormat="1" applyFont="1" applyFill="1" applyBorder="1" applyAlignment="1" applyProtection="1">
      <alignment vertical="center"/>
      <protection/>
    </xf>
    <xf numFmtId="0" fontId="0" fillId="32" borderId="11" xfId="0" applyNumberFormat="1" applyFont="1" applyFill="1" applyBorder="1" applyAlignment="1" applyProtection="1">
      <alignment horizontal="center" vertical="top"/>
      <protection/>
    </xf>
    <xf numFmtId="0" fontId="0" fillId="32" borderId="0" xfId="0" applyNumberFormat="1" applyFont="1" applyFill="1" applyBorder="1" applyAlignment="1" applyProtection="1">
      <alignment horizontal="center"/>
      <protection/>
    </xf>
    <xf numFmtId="0" fontId="0" fillId="32" borderId="11" xfId="0" applyNumberFormat="1" applyFont="1" applyFill="1" applyBorder="1" applyAlignment="1" applyProtection="1">
      <alignment vertical="top"/>
      <protection/>
    </xf>
    <xf numFmtId="0" fontId="3" fillId="32" borderId="0" xfId="0" applyNumberFormat="1" applyFont="1" applyFill="1" applyBorder="1" applyAlignment="1" applyProtection="1">
      <alignment horizontal="center"/>
      <protection/>
    </xf>
    <xf numFmtId="0" fontId="3" fillId="32" borderId="0" xfId="0" applyNumberFormat="1" applyFont="1" applyFill="1" applyBorder="1" applyAlignment="1" applyProtection="1">
      <alignment vertical="top"/>
      <protection/>
    </xf>
    <xf numFmtId="0" fontId="0" fillId="32" borderId="11" xfId="0" applyFont="1" applyFill="1" applyBorder="1" applyAlignment="1" applyProtection="1">
      <alignment/>
      <protection/>
    </xf>
    <xf numFmtId="0" fontId="0" fillId="32" borderId="99" xfId="0" applyNumberFormat="1" applyFont="1" applyFill="1" applyBorder="1" applyAlignment="1" applyProtection="1">
      <alignment horizontal="center" vertical="top"/>
      <protection/>
    </xf>
    <xf numFmtId="0" fontId="0" fillId="32" borderId="100" xfId="0" applyNumberFormat="1" applyFont="1" applyFill="1" applyBorder="1" applyAlignment="1" applyProtection="1">
      <alignment horizontal="center" vertical="top"/>
      <protection/>
    </xf>
    <xf numFmtId="0" fontId="0" fillId="32" borderId="101" xfId="0" applyNumberFormat="1" applyFont="1" applyFill="1" applyBorder="1" applyAlignment="1" applyProtection="1">
      <alignment horizontal="center" vertical="top"/>
      <protection/>
    </xf>
    <xf numFmtId="0" fontId="0" fillId="32" borderId="0" xfId="0" applyFont="1" applyFill="1" applyAlignment="1" applyProtection="1">
      <alignment wrapText="1"/>
      <protection/>
    </xf>
    <xf numFmtId="0" fontId="0" fillId="32" borderId="0" xfId="0" applyNumberFormat="1" applyFont="1" applyFill="1" applyBorder="1" applyAlignment="1" applyProtection="1">
      <alignment wrapText="1"/>
      <protection/>
    </xf>
    <xf numFmtId="0" fontId="0" fillId="32" borderId="37" xfId="0" applyFont="1" applyFill="1" applyBorder="1" applyAlignment="1" applyProtection="1">
      <alignment horizontal="center"/>
      <protection/>
    </xf>
    <xf numFmtId="0" fontId="3" fillId="32" borderId="77" xfId="0" applyFont="1" applyFill="1" applyBorder="1" applyAlignment="1" applyProtection="1">
      <alignment horizontal="center" vertical="center"/>
      <protection/>
    </xf>
    <xf numFmtId="0" fontId="3" fillId="32" borderId="37" xfId="0" applyNumberFormat="1" applyFont="1" applyFill="1" applyBorder="1" applyAlignment="1" applyProtection="1">
      <alignment horizontal="center" wrapText="1"/>
      <protection/>
    </xf>
    <xf numFmtId="0" fontId="0" fillId="32" borderId="11" xfId="0" applyFont="1" applyFill="1" applyBorder="1" applyAlignment="1" applyProtection="1">
      <alignment horizontal="center"/>
      <protection/>
    </xf>
    <xf numFmtId="195" fontId="0" fillId="28" borderId="102" xfId="0" applyNumberFormat="1" applyFont="1" applyFill="1" applyBorder="1" applyAlignment="1" applyProtection="1">
      <alignment vertical="center"/>
      <protection locked="0"/>
    </xf>
    <xf numFmtId="0" fontId="0" fillId="24" borderId="110" xfId="0" applyFill="1" applyBorder="1" applyAlignment="1" applyProtection="1">
      <alignment vertical="center"/>
      <protection/>
    </xf>
    <xf numFmtId="0" fontId="0" fillId="24" borderId="104" xfId="0" applyFill="1" applyBorder="1" applyAlignment="1" applyProtection="1">
      <alignment vertical="center"/>
      <protection/>
    </xf>
    <xf numFmtId="195" fontId="0" fillId="30" borderId="102" xfId="0" applyNumberFormat="1" applyFont="1" applyFill="1" applyBorder="1" applyAlignment="1" applyProtection="1">
      <alignment vertical="center"/>
      <protection/>
    </xf>
    <xf numFmtId="0" fontId="0" fillId="24" borderId="103" xfId="0" applyFill="1" applyBorder="1" applyAlignment="1" applyProtection="1">
      <alignment vertical="center"/>
      <protection/>
    </xf>
    <xf numFmtId="0" fontId="0" fillId="24" borderId="114" xfId="0" applyFill="1" applyBorder="1" applyAlignment="1" applyProtection="1">
      <alignment vertical="center"/>
      <protection/>
    </xf>
    <xf numFmtId="180" fontId="77" fillId="30" borderId="103" xfId="0" applyNumberFormat="1" applyFont="1" applyFill="1" applyBorder="1" applyAlignment="1" applyProtection="1">
      <alignment horizontal="center" vertical="center"/>
      <protection/>
    </xf>
    <xf numFmtId="195" fontId="0" fillId="28" borderId="115" xfId="0" applyNumberFormat="1" applyFont="1" applyFill="1" applyBorder="1" applyAlignment="1" applyProtection="1">
      <alignment vertical="center"/>
      <protection locked="0"/>
    </xf>
    <xf numFmtId="195" fontId="0" fillId="30" borderId="115" xfId="0" applyNumberFormat="1" applyFont="1" applyFill="1" applyBorder="1" applyAlignment="1" applyProtection="1">
      <alignment vertical="center"/>
      <protection/>
    </xf>
    <xf numFmtId="180" fontId="77" fillId="30" borderId="98" xfId="0" applyNumberFormat="1" applyFont="1" applyFill="1" applyBorder="1" applyAlignment="1" applyProtection="1">
      <alignment horizontal="center" vertical="center"/>
      <protection/>
    </xf>
    <xf numFmtId="195" fontId="0" fillId="28" borderId="116" xfId="0" applyNumberFormat="1" applyFont="1" applyFill="1" applyBorder="1" applyAlignment="1" applyProtection="1">
      <alignment vertical="center"/>
      <protection locked="0"/>
    </xf>
    <xf numFmtId="195" fontId="0" fillId="30" borderId="116" xfId="0" applyNumberFormat="1" applyFont="1" applyFill="1" applyBorder="1" applyAlignment="1" applyProtection="1">
      <alignment vertical="center"/>
      <protection/>
    </xf>
    <xf numFmtId="180" fontId="77" fillId="30" borderId="35" xfId="0" applyNumberFormat="1" applyFont="1" applyFill="1" applyBorder="1" applyAlignment="1" applyProtection="1">
      <alignment horizontal="center" vertical="center"/>
      <protection/>
    </xf>
    <xf numFmtId="195" fontId="0" fillId="28" borderId="117" xfId="0" applyNumberFormat="1" applyFont="1" applyFill="1" applyBorder="1" applyAlignment="1" applyProtection="1">
      <alignment vertical="center"/>
      <protection locked="0"/>
    </xf>
    <xf numFmtId="195" fontId="0" fillId="30" borderId="117" xfId="0" applyNumberFormat="1" applyFont="1" applyFill="1" applyBorder="1" applyAlignment="1" applyProtection="1">
      <alignment vertical="center"/>
      <protection/>
    </xf>
    <xf numFmtId="180" fontId="77" fillId="30" borderId="34" xfId="0" applyNumberFormat="1" applyFont="1" applyFill="1" applyBorder="1" applyAlignment="1" applyProtection="1">
      <alignment horizontal="center" vertical="center"/>
      <protection/>
    </xf>
    <xf numFmtId="195" fontId="0" fillId="28" borderId="118" xfId="0" applyNumberFormat="1" applyFont="1" applyFill="1" applyBorder="1" applyAlignment="1" applyProtection="1">
      <alignment vertical="center"/>
      <protection locked="0"/>
    </xf>
    <xf numFmtId="195" fontId="0" fillId="30" borderId="118" xfId="0" applyNumberFormat="1" applyFont="1" applyFill="1" applyBorder="1" applyAlignment="1" applyProtection="1">
      <alignment vertical="center"/>
      <protection/>
    </xf>
    <xf numFmtId="180" fontId="77" fillId="30" borderId="105" xfId="0" applyNumberFormat="1" applyFont="1" applyFill="1" applyBorder="1" applyAlignment="1" applyProtection="1">
      <alignment horizontal="center" vertical="center"/>
      <protection/>
    </xf>
    <xf numFmtId="0" fontId="0" fillId="24" borderId="20" xfId="0" applyFill="1" applyBorder="1" applyAlignment="1" applyProtection="1">
      <alignment vertical="center"/>
      <protection/>
    </xf>
    <xf numFmtId="0" fontId="78" fillId="24" borderId="0" xfId="0" applyFont="1" applyFill="1" applyAlignment="1" applyProtection="1">
      <alignment/>
      <protection/>
    </xf>
    <xf numFmtId="0" fontId="0" fillId="22" borderId="0" xfId="0" applyFont="1" applyFill="1" applyAlignment="1" applyProtection="1">
      <alignment/>
      <protection/>
    </xf>
    <xf numFmtId="0" fontId="0" fillId="22" borderId="0" xfId="0" applyFont="1" applyFill="1" applyBorder="1" applyAlignment="1" applyProtection="1">
      <alignment/>
      <protection/>
    </xf>
    <xf numFmtId="0" fontId="0" fillId="4" borderId="119" xfId="0" applyFont="1" applyFill="1" applyBorder="1" applyAlignment="1" applyProtection="1">
      <alignment/>
      <protection/>
    </xf>
    <xf numFmtId="3" fontId="0" fillId="30" borderId="36" xfId="0" applyNumberFormat="1" applyFont="1" applyFill="1" applyBorder="1" applyAlignment="1" applyProtection="1">
      <alignment horizontal="center" vertical="top"/>
      <protection/>
    </xf>
    <xf numFmtId="3" fontId="0" fillId="30" borderId="35" xfId="0" applyNumberFormat="1" applyFont="1" applyFill="1" applyBorder="1" applyAlignment="1" applyProtection="1">
      <alignment horizontal="center" vertical="top"/>
      <protection/>
    </xf>
    <xf numFmtId="3" fontId="0" fillId="30" borderId="34" xfId="0" applyNumberFormat="1" applyFont="1" applyFill="1" applyBorder="1" applyAlignment="1" applyProtection="1">
      <alignment horizontal="center" vertical="top"/>
      <protection/>
    </xf>
    <xf numFmtId="3" fontId="0" fillId="30" borderId="98" xfId="0" applyNumberFormat="1" applyFont="1" applyFill="1" applyBorder="1" applyAlignment="1" applyProtection="1">
      <alignment horizontal="center" vertical="center"/>
      <protection/>
    </xf>
    <xf numFmtId="3" fontId="0" fillId="30" borderId="35" xfId="0" applyNumberFormat="1" applyFont="1" applyFill="1" applyBorder="1" applyAlignment="1" applyProtection="1">
      <alignment horizontal="center" vertical="center"/>
      <protection/>
    </xf>
    <xf numFmtId="3" fontId="0" fillId="30" borderId="105" xfId="0" applyNumberFormat="1" applyFont="1" applyFill="1" applyBorder="1" applyAlignment="1" applyProtection="1">
      <alignment horizontal="center" vertical="center"/>
      <protection/>
    </xf>
    <xf numFmtId="3" fontId="0" fillId="30" borderId="36" xfId="0" applyNumberFormat="1" applyFont="1" applyFill="1" applyBorder="1" applyAlignment="1" applyProtection="1">
      <alignment horizontal="center" vertical="center"/>
      <protection/>
    </xf>
    <xf numFmtId="3" fontId="0" fillId="30" borderId="34" xfId="0" applyNumberFormat="1" applyFont="1" applyFill="1" applyBorder="1" applyAlignment="1" applyProtection="1">
      <alignment horizontal="center" vertical="center"/>
      <protection/>
    </xf>
    <xf numFmtId="0" fontId="0" fillId="32" borderId="0" xfId="0" applyFont="1" applyFill="1" applyAlignment="1" applyProtection="1">
      <alignment vertical="center"/>
      <protection/>
    </xf>
    <xf numFmtId="49" fontId="3" fillId="24" borderId="0" xfId="0" applyNumberFormat="1" applyFont="1" applyFill="1" applyBorder="1" applyAlignment="1" applyProtection="1">
      <alignment horizontal="center" vertical="top"/>
      <protection/>
    </xf>
    <xf numFmtId="0" fontId="0" fillId="32" borderId="11" xfId="0" applyNumberFormat="1" applyFont="1" applyFill="1" applyBorder="1" applyAlignment="1" applyProtection="1">
      <alignment horizontal="center" vertical="center"/>
      <protection/>
    </xf>
    <xf numFmtId="49" fontId="0" fillId="6" borderId="11" xfId="0" applyNumberFormat="1" applyFont="1" applyFill="1" applyBorder="1" applyAlignment="1" applyProtection="1">
      <alignment vertical="top"/>
      <protection/>
    </xf>
    <xf numFmtId="0" fontId="0" fillId="24" borderId="0" xfId="0" applyNumberFormat="1" applyFont="1" applyFill="1" applyBorder="1" applyAlignment="1" applyProtection="1">
      <alignment horizontal="right" vertical="top" indent="1"/>
      <protection/>
    </xf>
    <xf numFmtId="14" fontId="0" fillId="4" borderId="11" xfId="0" applyNumberFormat="1" applyFont="1" applyFill="1" applyBorder="1" applyAlignment="1" applyProtection="1">
      <alignment horizontal="center" vertical="top" wrapText="1"/>
      <protection/>
    </xf>
    <xf numFmtId="0" fontId="0" fillId="32" borderId="86" xfId="0" applyFont="1" applyFill="1" applyBorder="1" applyAlignment="1" applyProtection="1">
      <alignment/>
      <protection/>
    </xf>
    <xf numFmtId="0" fontId="0" fillId="32" borderId="99" xfId="0" applyFont="1" applyFill="1" applyBorder="1" applyAlignment="1" applyProtection="1">
      <alignment/>
      <protection/>
    </xf>
    <xf numFmtId="0" fontId="0" fillId="32" borderId="101" xfId="0" applyFont="1" applyFill="1" applyBorder="1" applyAlignment="1" applyProtection="1">
      <alignment/>
      <protection/>
    </xf>
    <xf numFmtId="0" fontId="0" fillId="32" borderId="0" xfId="0" applyNumberFormat="1" applyFont="1" applyFill="1" applyBorder="1" applyAlignment="1" applyProtection="1">
      <alignment vertical="center"/>
      <protection/>
    </xf>
    <xf numFmtId="0" fontId="0" fillId="32" borderId="0" xfId="0" applyFill="1" applyBorder="1" applyAlignment="1" applyProtection="1">
      <alignment/>
      <protection/>
    </xf>
    <xf numFmtId="0" fontId="0" fillId="32" borderId="0" xfId="0" applyFont="1" applyFill="1" applyBorder="1" applyAlignment="1" applyProtection="1">
      <alignment/>
      <protection/>
    </xf>
    <xf numFmtId="0" fontId="0" fillId="32" borderId="11" xfId="0" applyFill="1" applyBorder="1" applyAlignment="1" applyProtection="1">
      <alignment/>
      <protection/>
    </xf>
    <xf numFmtId="0" fontId="5" fillId="32" borderId="0" xfId="61" applyFill="1" applyBorder="1" applyAlignment="1" applyProtection="1">
      <alignment/>
      <protection/>
    </xf>
    <xf numFmtId="0" fontId="79" fillId="31" borderId="0" xfId="61" applyFont="1" applyFill="1" applyBorder="1" applyAlignment="1" applyProtection="1">
      <alignment horizontal="center" vertical="top"/>
      <protection/>
    </xf>
    <xf numFmtId="0" fontId="80" fillId="31" borderId="0" xfId="0" applyFont="1" applyFill="1" applyBorder="1" applyAlignment="1" applyProtection="1">
      <alignment horizontal="center" vertical="top"/>
      <protection/>
    </xf>
    <xf numFmtId="0" fontId="5" fillId="31" borderId="0" xfId="61" applyFill="1" applyBorder="1" applyAlignment="1" applyProtection="1">
      <alignment horizontal="center" vertical="top"/>
      <protection/>
    </xf>
    <xf numFmtId="0" fontId="0" fillId="31" borderId="0" xfId="0" applyFill="1" applyBorder="1" applyAlignment="1" applyProtection="1">
      <alignment vertical="top"/>
      <protection/>
    </xf>
    <xf numFmtId="0" fontId="40" fillId="24" borderId="0" xfId="0" applyNumberFormat="1" applyFont="1" applyFill="1" applyAlignment="1" applyProtection="1">
      <alignment horizontal="right" vertical="top" wrapText="1"/>
      <protection/>
    </xf>
    <xf numFmtId="0" fontId="79" fillId="31" borderId="0" xfId="0" applyFont="1" applyFill="1" applyAlignment="1" applyProtection="1">
      <alignment horizontal="center"/>
      <protection/>
    </xf>
    <xf numFmtId="0" fontId="0" fillId="32" borderId="0" xfId="0" applyFill="1" applyAlignment="1" applyProtection="1">
      <alignment/>
      <protection/>
    </xf>
    <xf numFmtId="180" fontId="0" fillId="33" borderId="79" xfId="0" applyNumberFormat="1" applyFont="1" applyFill="1" applyBorder="1" applyAlignment="1" applyProtection="1">
      <alignment vertical="top"/>
      <protection locked="0"/>
    </xf>
    <xf numFmtId="0" fontId="0" fillId="23" borderId="0" xfId="0" applyNumberFormat="1" applyFont="1" applyFill="1" applyBorder="1" applyAlignment="1" applyProtection="1">
      <alignment vertical="top"/>
      <protection/>
    </xf>
    <xf numFmtId="189" fontId="0" fillId="0" borderId="0" xfId="0" applyNumberFormat="1" applyAlignment="1" applyProtection="1">
      <alignment/>
      <protection/>
    </xf>
    <xf numFmtId="0" fontId="0" fillId="32" borderId="0" xfId="0" applyFill="1" applyBorder="1" applyAlignment="1" applyProtection="1">
      <alignment/>
      <protection/>
    </xf>
    <xf numFmtId="0" fontId="0" fillId="32" borderId="0" xfId="0" applyFill="1" applyBorder="1" applyAlignment="1" applyProtection="1">
      <alignment vertical="top"/>
      <protection/>
    </xf>
    <xf numFmtId="0" fontId="0" fillId="31" borderId="0" xfId="0" applyFont="1" applyFill="1" applyAlignment="1" applyProtection="1">
      <alignment/>
      <protection/>
    </xf>
    <xf numFmtId="0" fontId="0" fillId="31" borderId="0" xfId="0" applyFill="1" applyBorder="1" applyAlignment="1" applyProtection="1">
      <alignment/>
      <protection/>
    </xf>
    <xf numFmtId="0" fontId="0" fillId="31" borderId="0" xfId="0" applyFill="1" applyBorder="1" applyAlignment="1" applyProtection="1">
      <alignment/>
      <protection/>
    </xf>
    <xf numFmtId="0" fontId="0" fillId="31" borderId="0" xfId="0" applyNumberFormat="1" applyFont="1" applyFill="1" applyBorder="1" applyAlignment="1" applyProtection="1">
      <alignment vertical="top"/>
      <protection/>
    </xf>
    <xf numFmtId="0" fontId="0" fillId="31" borderId="0" xfId="0" applyFill="1" applyAlignment="1" applyProtection="1">
      <alignment/>
      <protection/>
    </xf>
    <xf numFmtId="0" fontId="0" fillId="31" borderId="0" xfId="0" applyNumberFormat="1" applyFont="1" applyFill="1" applyBorder="1" applyAlignment="1" applyProtection="1">
      <alignment vertical="center"/>
      <protection/>
    </xf>
    <xf numFmtId="0" fontId="0" fillId="31" borderId="0" xfId="0" applyNumberFormat="1" applyFont="1" applyFill="1" applyBorder="1" applyAlignment="1" applyProtection="1">
      <alignment vertical="center"/>
      <protection/>
    </xf>
    <xf numFmtId="0" fontId="0" fillId="31" borderId="0" xfId="0" applyNumberFormat="1" applyFont="1" applyFill="1" applyBorder="1" applyAlignment="1" applyProtection="1">
      <alignment wrapText="1"/>
      <protection/>
    </xf>
    <xf numFmtId="0" fontId="37" fillId="31" borderId="0" xfId="0" applyNumberFormat="1" applyFont="1" applyFill="1" applyBorder="1" applyAlignment="1" applyProtection="1">
      <alignment vertical="top"/>
      <protection/>
    </xf>
    <xf numFmtId="0" fontId="0" fillId="31" borderId="0" xfId="0" applyNumberFormat="1" applyFont="1" applyFill="1" applyBorder="1" applyAlignment="1" applyProtection="1">
      <alignment vertical="top"/>
      <protection/>
    </xf>
    <xf numFmtId="0" fontId="0" fillId="31" borderId="0" xfId="0" applyFont="1" applyFill="1" applyAlignment="1" applyProtection="1">
      <alignment/>
      <protection/>
    </xf>
    <xf numFmtId="3" fontId="0" fillId="33" borderId="36" xfId="0" applyNumberFormat="1" applyFont="1" applyFill="1" applyBorder="1" applyAlignment="1" applyProtection="1">
      <alignment horizontal="center" vertical="top"/>
      <protection locked="0"/>
    </xf>
    <xf numFmtId="3" fontId="0" fillId="33" borderId="35" xfId="0" applyNumberFormat="1" applyFont="1" applyFill="1" applyBorder="1" applyAlignment="1" applyProtection="1">
      <alignment horizontal="center" vertical="top"/>
      <protection locked="0"/>
    </xf>
    <xf numFmtId="3" fontId="0" fillId="33" borderId="34" xfId="0" applyNumberFormat="1" applyFont="1" applyFill="1" applyBorder="1" applyAlignment="1" applyProtection="1">
      <alignment horizontal="center" vertical="top"/>
      <protection locked="0"/>
    </xf>
    <xf numFmtId="0" fontId="1" fillId="0" borderId="0" xfId="74" applyProtection="1" quotePrefix="1">
      <alignment/>
      <protection/>
    </xf>
    <xf numFmtId="0" fontId="0" fillId="0" borderId="0" xfId="0" applyAlignment="1" applyProtection="1">
      <alignment vertical="top" wrapText="1"/>
      <protection/>
    </xf>
    <xf numFmtId="3" fontId="0" fillId="34" borderId="36" xfId="0" applyNumberFormat="1" applyFont="1" applyFill="1" applyBorder="1" applyAlignment="1" applyProtection="1">
      <alignment horizontal="center" vertical="top"/>
      <protection locked="0"/>
    </xf>
    <xf numFmtId="3" fontId="0" fillId="34" borderId="35" xfId="0" applyNumberFormat="1" applyFont="1" applyFill="1" applyBorder="1" applyAlignment="1" applyProtection="1">
      <alignment horizontal="center" vertical="top"/>
      <protection locked="0"/>
    </xf>
    <xf numFmtId="3" fontId="0" fillId="34" borderId="34" xfId="0" applyNumberFormat="1" applyFont="1" applyFill="1" applyBorder="1" applyAlignment="1" applyProtection="1">
      <alignment horizontal="center" vertical="top"/>
      <protection locked="0"/>
    </xf>
    <xf numFmtId="0" fontId="0" fillId="28" borderId="11" xfId="0" applyNumberFormat="1" applyFont="1" applyFill="1" applyBorder="1" applyAlignment="1" applyProtection="1">
      <alignment horizontal="center" vertical="top"/>
      <protection locked="0"/>
    </xf>
    <xf numFmtId="0" fontId="0" fillId="31" borderId="0" xfId="0" applyFont="1" applyFill="1" applyBorder="1" applyAlignment="1" applyProtection="1">
      <alignment horizontal="center" vertical="top" wrapText="1"/>
      <protection/>
    </xf>
    <xf numFmtId="14" fontId="0" fillId="32" borderId="86" xfId="0" applyNumberFormat="1" applyFont="1" applyFill="1" applyBorder="1" applyAlignment="1" applyProtection="1">
      <alignment horizontal="center" vertical="top"/>
      <protection/>
    </xf>
    <xf numFmtId="0" fontId="0" fillId="30" borderId="11" xfId="0" applyNumberFormat="1" applyFont="1" applyFill="1" applyBorder="1" applyAlignment="1" applyProtection="1">
      <alignment horizontal="center" vertical="top"/>
      <protection/>
    </xf>
    <xf numFmtId="0" fontId="22" fillId="0" borderId="10" xfId="74" applyFont="1" applyBorder="1" applyAlignment="1" applyProtection="1">
      <alignment wrapText="1"/>
      <protection/>
    </xf>
    <xf numFmtId="0" fontId="1" fillId="0" borderId="0" xfId="74" applyAlignment="1" applyProtection="1">
      <alignment wrapText="1"/>
      <protection/>
    </xf>
    <xf numFmtId="0" fontId="0" fillId="24" borderId="86" xfId="0" applyNumberFormat="1" applyFont="1" applyFill="1" applyBorder="1" applyAlignment="1" applyProtection="1">
      <alignment horizontal="left" vertical="top" wrapText="1"/>
      <protection/>
    </xf>
    <xf numFmtId="0" fontId="0" fillId="24" borderId="94" xfId="0" applyNumberFormat="1" applyFont="1" applyFill="1" applyBorder="1" applyAlignment="1" applyProtection="1">
      <alignment horizontal="left" vertical="top" wrapText="1"/>
      <protection/>
    </xf>
    <xf numFmtId="0" fontId="0" fillId="24" borderId="0" xfId="0" applyFont="1" applyFill="1" applyBorder="1" applyAlignment="1" applyProtection="1">
      <alignment horizontal="right" vertical="top" indent="1"/>
      <protection/>
    </xf>
    <xf numFmtId="0" fontId="0" fillId="32" borderId="11" xfId="0" applyNumberFormat="1" applyFont="1" applyFill="1" applyBorder="1" applyAlignment="1" applyProtection="1">
      <alignment horizontal="center" vertical="center"/>
      <protection/>
    </xf>
    <xf numFmtId="0" fontId="0" fillId="32" borderId="11" xfId="0" applyNumberFormat="1" applyFont="1" applyFill="1" applyBorder="1" applyAlignment="1" applyProtection="1">
      <alignment vertical="center"/>
      <protection/>
    </xf>
    <xf numFmtId="0" fontId="81" fillId="24" borderId="0" xfId="0" applyFont="1" applyFill="1" applyAlignment="1" applyProtection="1">
      <alignment horizontal="center" vertical="center"/>
      <protection/>
    </xf>
    <xf numFmtId="0" fontId="82" fillId="24" borderId="0" xfId="0" applyFont="1" applyFill="1" applyAlignment="1" applyProtection="1">
      <alignment/>
      <protection/>
    </xf>
    <xf numFmtId="0" fontId="82" fillId="24" borderId="10" xfId="0" applyNumberFormat="1" applyFont="1" applyFill="1" applyBorder="1" applyAlignment="1" applyProtection="1">
      <alignment vertical="top"/>
      <protection/>
    </xf>
    <xf numFmtId="0" fontId="83" fillId="24" borderId="37" xfId="0" applyNumberFormat="1" applyFont="1" applyFill="1" applyBorder="1" applyAlignment="1" applyProtection="1">
      <alignment vertical="top"/>
      <protection/>
    </xf>
    <xf numFmtId="0" fontId="82" fillId="24" borderId="20" xfId="0" applyNumberFormat="1" applyFont="1" applyFill="1" applyBorder="1" applyAlignment="1" applyProtection="1">
      <alignment horizontal="center" vertical="top"/>
      <protection/>
    </xf>
    <xf numFmtId="180" fontId="82" fillId="30" borderId="79" xfId="0" applyNumberFormat="1" applyFont="1" applyFill="1" applyBorder="1" applyAlignment="1" applyProtection="1">
      <alignment vertical="top"/>
      <protection/>
    </xf>
    <xf numFmtId="0" fontId="82" fillId="24" borderId="0" xfId="0" applyNumberFormat="1" applyFont="1" applyFill="1" applyBorder="1" applyAlignment="1" applyProtection="1">
      <alignment horizontal="center" vertical="top"/>
      <protection/>
    </xf>
    <xf numFmtId="180" fontId="82" fillId="30" borderId="98" xfId="0" applyNumberFormat="1" applyFont="1" applyFill="1" applyBorder="1" applyAlignment="1" applyProtection="1">
      <alignment vertical="top"/>
      <protection/>
    </xf>
    <xf numFmtId="180" fontId="82" fillId="30" borderId="35" xfId="0" applyNumberFormat="1" applyFont="1" applyFill="1" applyBorder="1" applyAlignment="1" applyProtection="1">
      <alignment vertical="top"/>
      <protection/>
    </xf>
    <xf numFmtId="0" fontId="82" fillId="24" borderId="10" xfId="0" applyNumberFormat="1" applyFont="1" applyFill="1" applyBorder="1" applyAlignment="1" applyProtection="1">
      <alignment horizontal="center" vertical="top"/>
      <protection/>
    </xf>
    <xf numFmtId="180" fontId="82" fillId="30" borderId="34" xfId="0" applyNumberFormat="1" applyFont="1" applyFill="1" applyBorder="1" applyAlignment="1" applyProtection="1">
      <alignment vertical="top"/>
      <protection/>
    </xf>
    <xf numFmtId="180" fontId="82" fillId="30" borderId="105" xfId="0" applyNumberFormat="1" applyFont="1" applyFill="1" applyBorder="1" applyAlignment="1" applyProtection="1">
      <alignment vertical="top"/>
      <protection/>
    </xf>
    <xf numFmtId="0" fontId="82" fillId="24" borderId="110" xfId="0" applyNumberFormat="1" applyFont="1" applyFill="1" applyBorder="1" applyAlignment="1" applyProtection="1">
      <alignment horizontal="center" vertical="top"/>
      <protection/>
    </xf>
    <xf numFmtId="180" fontId="82" fillId="30" borderId="103" xfId="0" applyNumberFormat="1" applyFont="1" applyFill="1" applyBorder="1" applyAlignment="1" applyProtection="1">
      <alignment vertical="top"/>
      <protection/>
    </xf>
    <xf numFmtId="0" fontId="82" fillId="24" borderId="0" xfId="0" applyNumberFormat="1" applyFont="1" applyFill="1" applyBorder="1" applyAlignment="1" applyProtection="1">
      <alignment vertical="top"/>
      <protection/>
    </xf>
    <xf numFmtId="180" fontId="83" fillId="4" borderId="37" xfId="0" applyNumberFormat="1" applyFont="1" applyFill="1" applyBorder="1" applyAlignment="1" applyProtection="1">
      <alignment vertical="top"/>
      <protection/>
    </xf>
    <xf numFmtId="0" fontId="82" fillId="24" borderId="0" xfId="0" applyFont="1" applyFill="1" applyBorder="1" applyAlignment="1" applyProtection="1">
      <alignment/>
      <protection/>
    </xf>
    <xf numFmtId="0" fontId="82" fillId="24" borderId="10" xfId="0" applyNumberFormat="1" applyFont="1" applyFill="1" applyBorder="1" applyAlignment="1" applyProtection="1">
      <alignment wrapText="1"/>
      <protection/>
    </xf>
    <xf numFmtId="0" fontId="83" fillId="24" borderId="37" xfId="0" applyNumberFormat="1" applyFont="1" applyFill="1" applyBorder="1" applyAlignment="1" applyProtection="1">
      <alignment horizontal="center" wrapText="1"/>
      <protection/>
    </xf>
    <xf numFmtId="0" fontId="83" fillId="0" borderId="0" xfId="0" applyNumberFormat="1" applyFont="1" applyFill="1" applyBorder="1" applyAlignment="1" applyProtection="1">
      <alignment horizontal="center" wrapText="1"/>
      <protection/>
    </xf>
    <xf numFmtId="0" fontId="83" fillId="24" borderId="0" xfId="0" applyFont="1" applyFill="1" applyAlignment="1" applyProtection="1">
      <alignment/>
      <protection/>
    </xf>
    <xf numFmtId="0" fontId="82" fillId="4" borderId="36" xfId="0" applyNumberFormat="1" applyFont="1" applyFill="1" applyBorder="1" applyAlignment="1" applyProtection="1">
      <alignment horizontal="center" vertical="top"/>
      <protection/>
    </xf>
    <xf numFmtId="3" fontId="82" fillId="30" borderId="36" xfId="0" applyNumberFormat="1" applyFont="1" applyFill="1" applyBorder="1" applyAlignment="1" applyProtection="1">
      <alignment horizontal="center" vertical="top"/>
      <protection/>
    </xf>
    <xf numFmtId="0" fontId="82" fillId="4" borderId="35" xfId="0" applyNumberFormat="1" applyFont="1" applyFill="1" applyBorder="1" applyAlignment="1" applyProtection="1">
      <alignment horizontal="center" vertical="top"/>
      <protection/>
    </xf>
    <xf numFmtId="3" fontId="82" fillId="30" borderId="35" xfId="0" applyNumberFormat="1" applyFont="1" applyFill="1" applyBorder="1" applyAlignment="1" applyProtection="1">
      <alignment horizontal="center" vertical="top"/>
      <protection/>
    </xf>
    <xf numFmtId="0" fontId="82" fillId="4" borderId="34" xfId="0" applyNumberFormat="1" applyFont="1" applyFill="1" applyBorder="1" applyAlignment="1" applyProtection="1">
      <alignment horizontal="center" vertical="top"/>
      <protection/>
    </xf>
    <xf numFmtId="3" fontId="82" fillId="30" borderId="34" xfId="0" applyNumberFormat="1" applyFont="1" applyFill="1" applyBorder="1" applyAlignment="1" applyProtection="1">
      <alignment horizontal="center" vertical="top"/>
      <protection/>
    </xf>
    <xf numFmtId="180" fontId="0" fillId="24" borderId="0" xfId="0" applyNumberFormat="1" applyFill="1" applyAlignment="1" applyProtection="1">
      <alignment/>
      <protection/>
    </xf>
    <xf numFmtId="10" fontId="0" fillId="24" borderId="0" xfId="0" applyNumberFormat="1" applyFill="1" applyAlignment="1" applyProtection="1">
      <alignment/>
      <protection/>
    </xf>
    <xf numFmtId="10" fontId="0" fillId="31" borderId="0" xfId="0" applyNumberFormat="1" applyFill="1" applyAlignment="1" applyProtection="1">
      <alignment/>
      <protection/>
    </xf>
    <xf numFmtId="185" fontId="0" fillId="24" borderId="0" xfId="0" applyNumberFormat="1" applyFill="1" applyAlignment="1" applyProtection="1">
      <alignment/>
      <protection/>
    </xf>
    <xf numFmtId="180" fontId="0" fillId="32" borderId="11" xfId="0" applyNumberFormat="1" applyFont="1" applyFill="1" applyBorder="1" applyAlignment="1" applyProtection="1">
      <alignment vertical="top"/>
      <protection/>
    </xf>
    <xf numFmtId="0" fontId="0" fillId="32" borderId="0" xfId="0" applyNumberFormat="1" applyFont="1" applyFill="1" applyBorder="1" applyAlignment="1" applyProtection="1">
      <alignment horizontal="right" vertical="top"/>
      <protection/>
    </xf>
    <xf numFmtId="0" fontId="1" fillId="11" borderId="11" xfId="74" applyFill="1" applyBorder="1" applyAlignment="1" applyProtection="1">
      <alignment horizontal="center" vertical="top"/>
      <protection/>
    </xf>
    <xf numFmtId="0" fontId="5" fillId="24" borderId="0" xfId="61" applyFill="1" applyAlignment="1" applyProtection="1">
      <alignment horizontal="left" vertical="top"/>
      <protection/>
    </xf>
    <xf numFmtId="0" fontId="0" fillId="31" borderId="0" xfId="0" applyFill="1" applyAlignment="1" applyProtection="1">
      <alignment/>
      <protection/>
    </xf>
    <xf numFmtId="0" fontId="3" fillId="31" borderId="0" xfId="0" applyFont="1" applyFill="1" applyBorder="1" applyAlignment="1" applyProtection="1">
      <alignment vertical="top" wrapText="1"/>
      <protection/>
    </xf>
    <xf numFmtId="0" fontId="7" fillId="31" borderId="0" xfId="0" applyFont="1" applyFill="1" applyBorder="1" applyAlignment="1" applyProtection="1">
      <alignment vertical="top" wrapText="1"/>
      <protection/>
    </xf>
    <xf numFmtId="0" fontId="3" fillId="31" borderId="94" xfId="0" applyNumberFormat="1" applyFont="1" applyFill="1" applyBorder="1" applyAlignment="1" applyProtection="1">
      <alignment wrapText="1"/>
      <protection/>
    </xf>
    <xf numFmtId="0" fontId="42" fillId="25" borderId="0" xfId="0" applyFont="1" applyFill="1" applyAlignment="1" applyProtection="1">
      <alignment/>
      <protection/>
    </xf>
    <xf numFmtId="0" fontId="35" fillId="25" borderId="0" xfId="0" applyFont="1" applyFill="1" applyAlignment="1" applyProtection="1">
      <alignment horizontal="left"/>
      <protection/>
    </xf>
    <xf numFmtId="0" fontId="0" fillId="25" borderId="0" xfId="0" applyNumberFormat="1" applyFont="1" applyFill="1" applyBorder="1" applyAlignment="1" applyProtection="1">
      <alignment horizontal="left" vertical="top"/>
      <protection/>
    </xf>
    <xf numFmtId="0" fontId="3" fillId="21" borderId="77" xfId="0" applyFont="1" applyFill="1" applyBorder="1" applyAlignment="1" applyProtection="1">
      <alignment horizontal="left"/>
      <protection/>
    </xf>
    <xf numFmtId="0" fontId="6" fillId="24" borderId="0" xfId="0" applyFont="1" applyFill="1" applyBorder="1" applyAlignment="1" applyProtection="1">
      <alignment horizontal="left" vertical="top"/>
      <protection/>
    </xf>
    <xf numFmtId="0" fontId="0" fillId="24" borderId="81" xfId="0" applyFill="1" applyBorder="1" applyAlignment="1" applyProtection="1">
      <alignment horizontal="left" vertical="top"/>
      <protection/>
    </xf>
    <xf numFmtId="0" fontId="0" fillId="24" borderId="38" xfId="0" applyFill="1" applyBorder="1" applyAlignment="1" applyProtection="1">
      <alignment horizontal="left" vertical="top"/>
      <protection/>
    </xf>
    <xf numFmtId="0" fontId="3" fillId="24" borderId="0" xfId="0" applyFont="1" applyFill="1" applyBorder="1" applyAlignment="1" applyProtection="1">
      <alignment horizontal="left" vertical="top"/>
      <protection/>
    </xf>
    <xf numFmtId="0" fontId="5" fillId="21" borderId="0" xfId="61" applyFill="1" applyAlignment="1" applyProtection="1">
      <alignment horizontal="left" vertical="top"/>
      <protection/>
    </xf>
    <xf numFmtId="0" fontId="0" fillId="24" borderId="120" xfId="0" applyNumberFormat="1" applyFont="1" applyFill="1" applyBorder="1" applyAlignment="1" applyProtection="1">
      <alignment horizontal="left" vertical="top" wrapText="1"/>
      <protection/>
    </xf>
    <xf numFmtId="0" fontId="7" fillId="24" borderId="0" xfId="0" applyFont="1" applyFill="1" applyAlignment="1" applyProtection="1">
      <alignment horizontal="left" vertical="top"/>
      <protection/>
    </xf>
    <xf numFmtId="0" fontId="0" fillId="24" borderId="95" xfId="0" applyNumberFormat="1" applyFont="1" applyFill="1" applyBorder="1" applyAlignment="1" applyProtection="1">
      <alignment horizontal="left" vertical="top"/>
      <protection/>
    </xf>
    <xf numFmtId="0" fontId="0" fillId="24" borderId="95" xfId="0" applyNumberFormat="1" applyFont="1" applyFill="1" applyBorder="1" applyAlignment="1" applyProtection="1">
      <alignment horizontal="left" vertical="top" wrapText="1"/>
      <protection/>
    </xf>
    <xf numFmtId="0" fontId="0" fillId="24" borderId="93" xfId="0" applyNumberFormat="1" applyFont="1" applyFill="1" applyBorder="1" applyAlignment="1" applyProtection="1">
      <alignment horizontal="left" vertical="center" wrapText="1"/>
      <protection/>
    </xf>
    <xf numFmtId="0" fontId="0" fillId="24" borderId="120" xfId="0" applyNumberFormat="1" applyFont="1" applyFill="1" applyBorder="1" applyAlignment="1" applyProtection="1">
      <alignment horizontal="left" vertical="center" wrapText="1"/>
      <protection/>
    </xf>
    <xf numFmtId="0" fontId="0" fillId="24" borderId="22" xfId="0" applyNumberFormat="1" applyFont="1" applyFill="1" applyBorder="1" applyAlignment="1" applyProtection="1">
      <alignment horizontal="left" vertical="center" wrapText="1"/>
      <protection/>
    </xf>
    <xf numFmtId="0" fontId="0" fillId="4" borderId="32" xfId="0" applyNumberFormat="1" applyFont="1" applyFill="1" applyBorder="1" applyAlignment="1" applyProtection="1">
      <alignment horizontal="left" vertical="top" wrapText="1"/>
      <protection/>
    </xf>
    <xf numFmtId="0" fontId="3" fillId="24" borderId="41" xfId="0" applyNumberFormat="1" applyFont="1" applyFill="1" applyBorder="1" applyAlignment="1" applyProtection="1">
      <alignment horizontal="left"/>
      <protection/>
    </xf>
    <xf numFmtId="0" fontId="51" fillId="24" borderId="0" xfId="0" applyFont="1" applyFill="1" applyAlignment="1" applyProtection="1">
      <alignment horizontal="left" vertical="top"/>
      <protection/>
    </xf>
    <xf numFmtId="0" fontId="3" fillId="24" borderId="10" xfId="0" applyNumberFormat="1" applyFont="1" applyFill="1" applyBorder="1" applyAlignment="1" applyProtection="1">
      <alignment horizontal="left" vertical="top"/>
      <protection/>
    </xf>
    <xf numFmtId="0" fontId="3" fillId="24" borderId="10" xfId="0" applyNumberFormat="1" applyFont="1" applyFill="1" applyBorder="1" applyAlignment="1" applyProtection="1">
      <alignment horizontal="left" vertical="top" indent="1"/>
      <protection/>
    </xf>
    <xf numFmtId="0" fontId="6" fillId="24" borderId="0" xfId="0" applyFont="1" applyFill="1" applyAlignment="1" applyProtection="1">
      <alignment horizontal="left" vertical="top"/>
      <protection/>
    </xf>
    <xf numFmtId="0" fontId="28" fillId="24" borderId="0" xfId="0" applyFont="1" applyFill="1" applyBorder="1" applyAlignment="1" applyProtection="1">
      <alignment horizontal="left" vertical="top"/>
      <protection/>
    </xf>
    <xf numFmtId="0" fontId="7" fillId="24" borderId="93" xfId="0" applyFont="1" applyFill="1" applyBorder="1" applyAlignment="1" applyProtection="1">
      <alignment horizontal="left" vertical="top"/>
      <protection/>
    </xf>
    <xf numFmtId="0" fontId="0" fillId="24" borderId="86" xfId="0" applyNumberFormat="1" applyFont="1" applyFill="1" applyBorder="1" applyAlignment="1" applyProtection="1">
      <alignment horizontal="left" vertical="top"/>
      <protection/>
    </xf>
    <xf numFmtId="0" fontId="0" fillId="24" borderId="11" xfId="0" applyNumberFormat="1" applyFont="1" applyFill="1" applyBorder="1" applyAlignment="1" applyProtection="1">
      <alignment horizontal="left" vertical="top"/>
      <protection/>
    </xf>
    <xf numFmtId="0" fontId="0" fillId="24" borderId="86" xfId="0" applyNumberFormat="1" applyFont="1" applyFill="1" applyBorder="1" applyAlignment="1" applyProtection="1">
      <alignment horizontal="left" vertical="top" indent="1"/>
      <protection/>
    </xf>
    <xf numFmtId="0" fontId="0" fillId="24" borderId="121" xfId="0" applyNumberFormat="1" applyFont="1" applyFill="1" applyBorder="1" applyAlignment="1" applyProtection="1">
      <alignment horizontal="left" vertical="top"/>
      <protection/>
    </xf>
    <xf numFmtId="0" fontId="0" fillId="28" borderId="0" xfId="0" applyNumberFormat="1" applyFont="1" applyFill="1" applyBorder="1" applyAlignment="1" applyProtection="1">
      <alignment vertical="top"/>
      <protection locked="0"/>
    </xf>
    <xf numFmtId="0" fontId="5" fillId="35" borderId="59" xfId="61" applyFill="1" applyBorder="1" applyAlignment="1" applyProtection="1">
      <alignment vertical="top"/>
      <protection/>
    </xf>
    <xf numFmtId="0" fontId="5" fillId="35" borderId="59" xfId="61" applyFill="1" applyBorder="1" applyAlignment="1" applyProtection="1">
      <alignment vertical="top" wrapText="1"/>
      <protection/>
    </xf>
    <xf numFmtId="0" fontId="84" fillId="35" borderId="77" xfId="0" applyFont="1" applyFill="1" applyBorder="1" applyAlignment="1" applyProtection="1">
      <alignment wrapText="1"/>
      <protection/>
    </xf>
    <xf numFmtId="0" fontId="85" fillId="35" borderId="59" xfId="0" applyFont="1" applyFill="1" applyBorder="1" applyAlignment="1" applyProtection="1">
      <alignment vertical="top" wrapText="1"/>
      <protection/>
    </xf>
    <xf numFmtId="0" fontId="86" fillId="32" borderId="59" xfId="0" applyFont="1" applyFill="1" applyBorder="1" applyAlignment="1" applyProtection="1">
      <alignment vertical="top" wrapText="1"/>
      <protection/>
    </xf>
    <xf numFmtId="0" fontId="0" fillId="35" borderId="59" xfId="0" applyFont="1" applyFill="1" applyBorder="1" applyAlignment="1" applyProtection="1">
      <alignment vertical="top" wrapText="1"/>
      <protection/>
    </xf>
    <xf numFmtId="0" fontId="87" fillId="36" borderId="59" xfId="0" applyFont="1" applyFill="1" applyBorder="1" applyAlignment="1" applyProtection="1">
      <alignment vertical="top" wrapText="1"/>
      <protection/>
    </xf>
    <xf numFmtId="0" fontId="87" fillId="36" borderId="59" xfId="0" applyFont="1" applyFill="1" applyBorder="1" applyAlignment="1" applyProtection="1">
      <alignment/>
      <protection/>
    </xf>
    <xf numFmtId="0" fontId="6" fillId="35" borderId="59" xfId="0" applyFont="1" applyFill="1" applyBorder="1" applyAlignment="1" applyProtection="1">
      <alignment vertical="top" wrapText="1"/>
      <protection/>
    </xf>
    <xf numFmtId="0" fontId="88" fillId="35" borderId="59" xfId="0" applyFont="1" applyFill="1" applyBorder="1" applyAlignment="1" applyProtection="1">
      <alignment vertical="top" wrapText="1"/>
      <protection/>
    </xf>
    <xf numFmtId="0" fontId="29" fillId="37" borderId="59" xfId="0" applyFont="1" applyFill="1" applyBorder="1" applyAlignment="1" applyProtection="1">
      <alignment vertical="top" wrapText="1"/>
      <protection/>
    </xf>
    <xf numFmtId="0" fontId="89" fillId="35" borderId="59" xfId="0" applyFont="1" applyFill="1" applyBorder="1" applyAlignment="1" applyProtection="1">
      <alignment vertical="top" wrapText="1"/>
      <protection/>
    </xf>
    <xf numFmtId="0" fontId="3" fillId="35" borderId="59" xfId="0" applyFont="1" applyFill="1" applyBorder="1" applyAlignment="1" applyProtection="1">
      <alignment vertical="top" wrapText="1"/>
      <protection/>
    </xf>
    <xf numFmtId="0" fontId="90" fillId="35" borderId="59" xfId="0" applyFont="1" applyFill="1" applyBorder="1" applyAlignment="1" applyProtection="1">
      <alignment vertical="top" wrapText="1"/>
      <protection/>
    </xf>
    <xf numFmtId="0" fontId="91" fillId="35" borderId="59" xfId="0" applyFont="1" applyFill="1" applyBorder="1" applyAlignment="1" applyProtection="1">
      <alignment vertical="top" wrapText="1"/>
      <protection/>
    </xf>
    <xf numFmtId="0" fontId="3" fillId="35" borderId="59" xfId="0" applyFont="1" applyFill="1" applyBorder="1" applyAlignment="1" applyProtection="1">
      <alignment wrapText="1"/>
      <protection/>
    </xf>
    <xf numFmtId="0" fontId="3" fillId="35" borderId="59" xfId="0" applyFont="1" applyFill="1" applyBorder="1" applyAlignment="1" applyProtection="1">
      <alignment/>
      <protection/>
    </xf>
    <xf numFmtId="0" fontId="29" fillId="37" borderId="59" xfId="0" applyFont="1" applyFill="1" applyBorder="1" applyAlignment="1" applyProtection="1">
      <alignment wrapText="1"/>
      <protection/>
    </xf>
    <xf numFmtId="0" fontId="3" fillId="0" borderId="59" xfId="0" applyFont="1" applyBorder="1" applyAlignment="1" applyProtection="1">
      <alignment/>
      <protection/>
    </xf>
    <xf numFmtId="0" fontId="3" fillId="36" borderId="59" xfId="0" applyFont="1" applyFill="1" applyBorder="1" applyAlignment="1" applyProtection="1">
      <alignment wrapText="1"/>
      <protection/>
    </xf>
    <xf numFmtId="0" fontId="92" fillId="35" borderId="59" xfId="0" applyFont="1" applyFill="1" applyBorder="1" applyAlignment="1" applyProtection="1">
      <alignment wrapText="1"/>
      <protection/>
    </xf>
    <xf numFmtId="0" fontId="3" fillId="35" borderId="59" xfId="0" applyFont="1" applyFill="1" applyBorder="1" applyAlignment="1" applyProtection="1">
      <alignment vertical="top"/>
      <protection/>
    </xf>
    <xf numFmtId="0" fontId="0" fillId="35" borderId="59" xfId="0" applyFont="1" applyFill="1" applyBorder="1" applyAlignment="1" applyProtection="1">
      <alignment/>
      <protection/>
    </xf>
    <xf numFmtId="0" fontId="0" fillId="35" borderId="59" xfId="0" applyFont="1" applyFill="1" applyBorder="1" applyAlignment="1" applyProtection="1">
      <alignment vertical="top"/>
      <protection/>
    </xf>
    <xf numFmtId="0" fontId="88" fillId="35" borderId="59" xfId="0" applyFont="1" applyFill="1" applyBorder="1" applyAlignment="1" applyProtection="1">
      <alignment vertical="top"/>
      <protection/>
    </xf>
    <xf numFmtId="0" fontId="90" fillId="35" borderId="59" xfId="0" applyFont="1" applyFill="1" applyBorder="1" applyAlignment="1" applyProtection="1">
      <alignment vertical="top"/>
      <protection/>
    </xf>
    <xf numFmtId="0" fontId="93" fillId="35" borderId="59" xfId="0" applyFont="1" applyFill="1" applyBorder="1" applyAlignment="1" applyProtection="1">
      <alignment vertical="top" wrapText="1"/>
      <protection/>
    </xf>
    <xf numFmtId="0" fontId="89" fillId="35" borderId="59" xfId="0" applyFont="1" applyFill="1" applyBorder="1" applyAlignment="1" applyProtection="1">
      <alignment vertical="top"/>
      <protection/>
    </xf>
    <xf numFmtId="0" fontId="88" fillId="35" borderId="59" xfId="0" applyFont="1" applyFill="1" applyBorder="1" applyAlignment="1" applyProtection="1">
      <alignment wrapText="1"/>
      <protection/>
    </xf>
    <xf numFmtId="0" fontId="94" fillId="35" borderId="59" xfId="0" applyFont="1" applyFill="1" applyBorder="1" applyAlignment="1" applyProtection="1">
      <alignment vertical="top" wrapText="1"/>
      <protection/>
    </xf>
    <xf numFmtId="0" fontId="29" fillId="37" borderId="59" xfId="0" applyFont="1" applyFill="1" applyBorder="1" applyAlignment="1" applyProtection="1">
      <alignment/>
      <protection/>
    </xf>
    <xf numFmtId="0" fontId="38" fillId="38" borderId="59" xfId="0" applyFont="1" applyFill="1" applyBorder="1" applyAlignment="1" applyProtection="1">
      <alignment horizontal="left" wrapText="1" indent="1"/>
      <protection/>
    </xf>
    <xf numFmtId="0" fontId="95" fillId="35" borderId="59" xfId="0" applyFont="1" applyFill="1" applyBorder="1" applyAlignment="1" applyProtection="1">
      <alignment/>
      <protection/>
    </xf>
    <xf numFmtId="0" fontId="0" fillId="32" borderId="59" xfId="0" applyFont="1" applyFill="1" applyBorder="1" applyAlignment="1" applyProtection="1">
      <alignment/>
      <protection/>
    </xf>
    <xf numFmtId="0" fontId="0" fillId="32" borderId="59" xfId="0" applyFont="1" applyFill="1" applyBorder="1" applyAlignment="1" applyProtection="1">
      <alignment vertical="top"/>
      <protection/>
    </xf>
    <xf numFmtId="0" fontId="92" fillId="35" borderId="16" xfId="0" applyFont="1" applyFill="1" applyBorder="1" applyAlignment="1" applyProtection="1">
      <alignment vertical="center" wrapText="1"/>
      <protection/>
    </xf>
    <xf numFmtId="0" fontId="92" fillId="35" borderId="0" xfId="0" applyFont="1" applyFill="1" applyAlignment="1" applyProtection="1">
      <alignment vertical="center" wrapText="1"/>
      <protection/>
    </xf>
    <xf numFmtId="0" fontId="96" fillId="0" borderId="0" xfId="0" applyFont="1" applyAlignment="1" applyProtection="1">
      <alignment vertical="center" wrapText="1"/>
      <protection/>
    </xf>
    <xf numFmtId="0" fontId="97" fillId="37" borderId="0" xfId="0" applyFont="1" applyFill="1" applyAlignment="1" applyProtection="1">
      <alignment vertical="center" wrapText="1"/>
      <protection/>
    </xf>
    <xf numFmtId="0" fontId="84" fillId="35" borderId="0" xfId="0" applyFont="1" applyFill="1" applyAlignment="1" applyProtection="1">
      <alignment vertical="center" wrapText="1"/>
      <protection/>
    </xf>
    <xf numFmtId="0" fontId="98" fillId="35" borderId="0" xfId="0" applyFont="1" applyFill="1" applyAlignment="1" applyProtection="1">
      <alignment vertical="center" wrapText="1"/>
      <protection/>
    </xf>
    <xf numFmtId="0" fontId="99" fillId="35" borderId="0" xfId="0" applyFont="1" applyFill="1" applyAlignment="1" applyProtection="1">
      <alignment vertical="center" wrapText="1"/>
      <protection/>
    </xf>
    <xf numFmtId="0" fontId="3" fillId="35" borderId="0" xfId="0" applyFont="1" applyFill="1" applyAlignment="1" applyProtection="1">
      <alignment vertical="center" wrapText="1"/>
      <protection/>
    </xf>
    <xf numFmtId="0" fontId="88" fillId="35" borderId="0" xfId="0" applyFont="1" applyFill="1" applyAlignment="1" applyProtection="1">
      <alignment vertical="center" wrapText="1"/>
      <protection/>
    </xf>
    <xf numFmtId="0" fontId="90" fillId="35" borderId="0" xfId="0" applyFont="1" applyFill="1" applyAlignment="1" applyProtection="1">
      <alignment vertical="center" wrapText="1"/>
      <protection/>
    </xf>
    <xf numFmtId="0" fontId="3" fillId="35" borderId="20" xfId="0" applyFont="1" applyFill="1" applyBorder="1" applyAlignment="1" applyProtection="1">
      <alignment vertical="center" wrapText="1"/>
      <protection/>
    </xf>
    <xf numFmtId="0" fontId="3" fillId="35" borderId="65" xfId="0" applyFont="1" applyFill="1" applyBorder="1" applyAlignment="1" applyProtection="1">
      <alignment vertical="center" wrapText="1"/>
      <protection/>
    </xf>
    <xf numFmtId="0" fontId="3" fillId="36" borderId="40" xfId="0" applyFont="1" applyFill="1" applyBorder="1" applyAlignment="1" applyProtection="1">
      <alignment vertical="center" wrapText="1"/>
      <protection/>
    </xf>
    <xf numFmtId="0" fontId="6" fillId="35" borderId="0" xfId="0" applyFont="1" applyFill="1" applyAlignment="1" applyProtection="1">
      <alignment vertical="center" wrapText="1"/>
      <protection/>
    </xf>
    <xf numFmtId="0" fontId="3" fillId="35" borderId="39" xfId="0" applyFont="1" applyFill="1" applyBorder="1" applyAlignment="1" applyProtection="1">
      <alignment vertical="center" wrapText="1"/>
      <protection/>
    </xf>
    <xf numFmtId="0" fontId="3" fillId="35" borderId="21" xfId="0" applyFont="1" applyFill="1" applyBorder="1" applyAlignment="1" applyProtection="1">
      <alignment vertical="center" wrapText="1"/>
      <protection/>
    </xf>
    <xf numFmtId="0" fontId="3" fillId="36" borderId="39" xfId="0" applyFont="1" applyFill="1" applyBorder="1" applyAlignment="1" applyProtection="1">
      <alignment vertical="center" wrapText="1"/>
      <protection/>
    </xf>
    <xf numFmtId="0" fontId="3" fillId="35" borderId="0" xfId="0" applyFont="1" applyFill="1" applyAlignment="1" applyProtection="1">
      <alignment horizontal="center" vertical="center" wrapText="1"/>
      <protection/>
    </xf>
    <xf numFmtId="0" fontId="0" fillId="0" borderId="0" xfId="0" applyFont="1" applyAlignment="1" applyProtection="1">
      <alignment vertical="center"/>
      <protection/>
    </xf>
    <xf numFmtId="0" fontId="100" fillId="0" borderId="0" xfId="0" applyFont="1" applyAlignment="1" applyProtection="1">
      <alignment vertical="center" wrapText="1"/>
      <protection/>
    </xf>
    <xf numFmtId="0" fontId="101" fillId="32" borderId="0" xfId="0" applyFont="1" applyFill="1" applyAlignment="1" applyProtection="1">
      <alignment vertical="center" wrapText="1"/>
      <protection/>
    </xf>
    <xf numFmtId="0" fontId="0" fillId="32" borderId="0" xfId="0" applyFont="1" applyFill="1" applyAlignment="1" applyProtection="1">
      <alignment vertical="center" wrapText="1"/>
      <protection/>
    </xf>
    <xf numFmtId="0" fontId="0" fillId="32" borderId="11" xfId="0" applyNumberFormat="1" applyFont="1" applyFill="1" applyBorder="1" applyAlignment="1" applyProtection="1">
      <alignment vertical="top"/>
      <protection/>
    </xf>
    <xf numFmtId="0" fontId="48" fillId="24" borderId="12" xfId="0" applyNumberFormat="1" applyFont="1" applyFill="1" applyBorder="1" applyAlignment="1" applyProtection="1">
      <alignment horizontal="left" vertical="top" wrapText="1"/>
      <protection/>
    </xf>
    <xf numFmtId="0" fontId="0" fillId="20" borderId="85" xfId="0" applyFont="1" applyFill="1" applyBorder="1" applyAlignment="1" applyProtection="1">
      <alignment horizontal="left" vertical="top" wrapText="1"/>
      <protection/>
    </xf>
    <xf numFmtId="0" fontId="5" fillId="20" borderId="0" xfId="61" applyFill="1" applyAlignment="1" applyProtection="1">
      <alignment horizontal="left" vertical="top" wrapText="1"/>
      <protection/>
    </xf>
    <xf numFmtId="0" fontId="0" fillId="4" borderId="36" xfId="0" applyNumberFormat="1" applyFont="1" applyFill="1" applyBorder="1" applyAlignment="1" applyProtection="1">
      <alignment horizontal="center" vertical="top" wrapText="1"/>
      <protection/>
    </xf>
    <xf numFmtId="0" fontId="0" fillId="4" borderId="35" xfId="0" applyNumberFormat="1" applyFont="1" applyFill="1" applyBorder="1" applyAlignment="1" applyProtection="1">
      <alignment horizontal="center" vertical="top" wrapText="1"/>
      <protection/>
    </xf>
    <xf numFmtId="0" fontId="0" fillId="4" borderId="34" xfId="0" applyNumberFormat="1" applyFont="1" applyFill="1" applyBorder="1" applyAlignment="1" applyProtection="1">
      <alignment horizontal="center" vertical="top" wrapText="1"/>
      <protection/>
    </xf>
    <xf numFmtId="0" fontId="3" fillId="31" borderId="0" xfId="61" applyFont="1" applyFill="1" applyBorder="1" applyAlignment="1" applyProtection="1">
      <alignment vertical="top"/>
      <protection/>
    </xf>
    <xf numFmtId="0" fontId="3" fillId="31" borderId="0" xfId="0" applyFont="1" applyFill="1" applyBorder="1" applyAlignment="1" applyProtection="1">
      <alignment vertical="top"/>
      <protection/>
    </xf>
    <xf numFmtId="0" fontId="5" fillId="31" borderId="0" xfId="61" applyFill="1" applyAlignment="1" applyProtection="1">
      <alignment/>
      <protection/>
    </xf>
    <xf numFmtId="0" fontId="0" fillId="31" borderId="0" xfId="0" applyFill="1" applyAlignment="1" applyProtection="1">
      <alignment/>
      <protection/>
    </xf>
    <xf numFmtId="0" fontId="0" fillId="24" borderId="12" xfId="0" applyFill="1" applyBorder="1" applyAlignment="1" applyProtection="1">
      <alignment horizontal="center" vertical="top" wrapText="1"/>
      <protection/>
    </xf>
    <xf numFmtId="0" fontId="0" fillId="0" borderId="12" xfId="0" applyBorder="1" applyAlignment="1" applyProtection="1">
      <alignment vertical="top" wrapText="1"/>
      <protection/>
    </xf>
    <xf numFmtId="0" fontId="3" fillId="31" borderId="0" xfId="0" applyFont="1" applyFill="1" applyBorder="1" applyAlignment="1" applyProtection="1">
      <alignment vertical="top" wrapText="1"/>
      <protection/>
    </xf>
    <xf numFmtId="0" fontId="0" fillId="24" borderId="0" xfId="0" applyFont="1" applyFill="1" applyBorder="1" applyAlignment="1" applyProtection="1">
      <alignment vertical="top" wrapText="1"/>
      <protection/>
    </xf>
    <xf numFmtId="0" fontId="30" fillId="21" borderId="40" xfId="61" applyFont="1" applyFill="1" applyBorder="1" applyAlignment="1" applyProtection="1">
      <alignment horizontal="center" vertical="top" wrapText="1"/>
      <protection/>
    </xf>
    <xf numFmtId="0" fontId="30" fillId="21" borderId="16" xfId="61" applyFont="1" applyFill="1" applyBorder="1" applyAlignment="1" applyProtection="1">
      <alignment horizontal="center" vertical="top" wrapText="1"/>
      <protection/>
    </xf>
    <xf numFmtId="0" fontId="30" fillId="0" borderId="17" xfId="61" applyFont="1" applyBorder="1" applyAlignment="1" applyProtection="1">
      <alignment horizontal="center" vertical="top" wrapText="1"/>
      <protection/>
    </xf>
    <xf numFmtId="0" fontId="30" fillId="21" borderId="39" xfId="61" applyFont="1" applyFill="1" applyBorder="1" applyAlignment="1" applyProtection="1">
      <alignment horizontal="center" vertical="top" wrapText="1"/>
      <protection/>
    </xf>
    <xf numFmtId="0" fontId="30" fillId="21" borderId="0" xfId="61" applyFont="1" applyFill="1" applyBorder="1" applyAlignment="1" applyProtection="1">
      <alignment horizontal="center" vertical="top" wrapText="1"/>
      <protection/>
    </xf>
    <xf numFmtId="0" fontId="30" fillId="0" borderId="19" xfId="61" applyFont="1" applyBorder="1" applyAlignment="1" applyProtection="1">
      <alignment horizontal="center" vertical="top" wrapText="1"/>
      <protection/>
    </xf>
    <xf numFmtId="0" fontId="3" fillId="31" borderId="0" xfId="61" applyFont="1" applyFill="1" applyBorder="1" applyAlignment="1" applyProtection="1">
      <alignment vertical="top" wrapText="1"/>
      <protection/>
    </xf>
    <xf numFmtId="0" fontId="54" fillId="24" borderId="0" xfId="0" applyFont="1" applyFill="1" applyBorder="1" applyAlignment="1" applyProtection="1">
      <alignment wrapText="1"/>
      <protection/>
    </xf>
    <xf numFmtId="0" fontId="0" fillId="0" borderId="0" xfId="0" applyFont="1" applyAlignment="1" applyProtection="1">
      <alignment wrapText="1"/>
      <protection/>
    </xf>
    <xf numFmtId="0" fontId="0" fillId="21" borderId="0" xfId="0" applyFill="1" applyBorder="1" applyAlignment="1" applyProtection="1">
      <alignment horizontal="center" vertical="top" wrapText="1"/>
      <protection/>
    </xf>
    <xf numFmtId="0" fontId="0" fillId="21" borderId="122" xfId="0" applyFill="1" applyBorder="1" applyAlignment="1" applyProtection="1">
      <alignment horizontal="center" vertical="center" wrapText="1"/>
      <protection/>
    </xf>
    <xf numFmtId="0" fontId="0" fillId="0" borderId="123" xfId="0"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0" fontId="30" fillId="21" borderId="77" xfId="61" applyFont="1" applyFill="1" applyBorder="1" applyAlignment="1" applyProtection="1">
      <alignment horizontal="center" vertical="top" wrapText="1"/>
      <protection/>
    </xf>
    <xf numFmtId="0" fontId="0" fillId="21" borderId="39" xfId="0" applyFill="1" applyBorder="1" applyAlignment="1" applyProtection="1">
      <alignment horizontal="center" vertical="top" wrapText="1"/>
      <protection/>
    </xf>
    <xf numFmtId="0" fontId="0" fillId="32" borderId="64" xfId="0" applyNumberFormat="1" applyFont="1" applyFill="1" applyBorder="1" applyAlignment="1" applyProtection="1">
      <alignment horizontal="center" vertical="top"/>
      <protection/>
    </xf>
    <xf numFmtId="0" fontId="0" fillId="32" borderId="124" xfId="0" applyNumberFormat="1" applyFont="1" applyFill="1" applyBorder="1" applyAlignment="1" applyProtection="1">
      <alignment horizontal="center" vertical="top"/>
      <protection/>
    </xf>
    <xf numFmtId="0" fontId="0" fillId="32" borderId="121" xfId="0" applyNumberFormat="1" applyFont="1" applyFill="1" applyBorder="1" applyAlignment="1" applyProtection="1">
      <alignment horizontal="center" vertical="top"/>
      <protection/>
    </xf>
    <xf numFmtId="0" fontId="0" fillId="32" borderId="66" xfId="0" applyNumberFormat="1" applyFont="1" applyFill="1" applyBorder="1" applyAlignment="1" applyProtection="1">
      <alignment horizontal="center" vertical="top"/>
      <protection/>
    </xf>
    <xf numFmtId="0" fontId="79" fillId="31" borderId="0" xfId="0" applyFont="1" applyFill="1" applyAlignment="1" applyProtection="1">
      <alignment/>
      <protection/>
    </xf>
    <xf numFmtId="0" fontId="30" fillId="0" borderId="77" xfId="61" applyFont="1" applyBorder="1" applyAlignment="1" applyProtection="1">
      <alignment horizontal="center" vertical="top" wrapText="1"/>
      <protection/>
    </xf>
    <xf numFmtId="0" fontId="0" fillId="21" borderId="40" xfId="0" applyFill="1" applyBorder="1" applyAlignment="1" applyProtection="1">
      <alignment horizontal="center" vertical="top" wrapText="1"/>
      <protection/>
    </xf>
    <xf numFmtId="0" fontId="0" fillId="21" borderId="16" xfId="0" applyFill="1" applyBorder="1" applyAlignment="1" applyProtection="1">
      <alignment horizontal="center" vertical="top" wrapText="1"/>
      <protection/>
    </xf>
    <xf numFmtId="0" fontId="40" fillId="24" borderId="0" xfId="0" applyNumberFormat="1" applyFont="1" applyFill="1" applyAlignment="1" applyProtection="1">
      <alignment horizontal="left" vertical="top" wrapText="1"/>
      <protection/>
    </xf>
    <xf numFmtId="0" fontId="49" fillId="24" borderId="0" xfId="0" applyFont="1" applyFill="1" applyAlignment="1" applyProtection="1">
      <alignment vertical="top" wrapText="1"/>
      <protection/>
    </xf>
    <xf numFmtId="0" fontId="49" fillId="24" borderId="0" xfId="0" applyFont="1" applyFill="1" applyBorder="1" applyAlignment="1" applyProtection="1">
      <alignment vertical="top" wrapText="1"/>
      <protection/>
    </xf>
    <xf numFmtId="0" fontId="30" fillId="21" borderId="66" xfId="61" applyFont="1" applyFill="1" applyBorder="1" applyAlignment="1" applyProtection="1">
      <alignment horizontal="center" vertical="top" wrapText="1"/>
      <protection/>
    </xf>
    <xf numFmtId="0" fontId="5" fillId="21" borderId="81" xfId="61" applyFill="1" applyBorder="1" applyAlignment="1" applyProtection="1">
      <alignment horizontal="center" vertical="top" wrapText="1"/>
      <protection/>
    </xf>
    <xf numFmtId="0" fontId="5" fillId="21" borderId="125" xfId="61" applyFill="1" applyBorder="1" applyAlignment="1" applyProtection="1">
      <alignment horizontal="center" vertical="top" wrapText="1"/>
      <protection/>
    </xf>
    <xf numFmtId="0" fontId="6" fillId="24" borderId="0" xfId="0" applyFont="1" applyFill="1" applyAlignment="1" applyProtection="1">
      <alignment vertical="top" wrapText="1"/>
      <protection/>
    </xf>
    <xf numFmtId="0" fontId="0" fillId="24" borderId="0" xfId="0" applyFill="1" applyAlignment="1" applyProtection="1">
      <alignment horizontal="left" vertical="top" wrapText="1"/>
      <protection/>
    </xf>
    <xf numFmtId="0" fontId="2" fillId="26" borderId="0" xfId="0" applyFont="1" applyFill="1" applyBorder="1" applyAlignment="1" applyProtection="1">
      <alignment vertical="top" wrapText="1"/>
      <protection/>
    </xf>
    <xf numFmtId="0" fontId="0" fillId="0" borderId="0" xfId="0" applyAlignment="1" applyProtection="1">
      <alignment horizontal="left" vertical="top" wrapText="1"/>
      <protection/>
    </xf>
    <xf numFmtId="0" fontId="0" fillId="0" borderId="0" xfId="0" applyFont="1" applyAlignment="1" applyProtection="1">
      <alignment horizontal="left" vertical="top" wrapText="1"/>
      <protection/>
    </xf>
    <xf numFmtId="0" fontId="5" fillId="24" borderId="0" xfId="61" applyFill="1" applyAlignment="1" applyProtection="1">
      <alignment horizontal="left" vertical="top"/>
      <protection/>
    </xf>
    <xf numFmtId="0" fontId="5" fillId="0" borderId="0" xfId="61" applyAlignment="1" applyProtection="1">
      <alignment horizontal="left" vertical="top"/>
      <protection/>
    </xf>
    <xf numFmtId="0" fontId="48" fillId="24" borderId="0" xfId="0" applyNumberFormat="1" applyFont="1" applyFill="1" applyAlignment="1" applyProtection="1">
      <alignment horizontal="left" vertical="top" wrapText="1"/>
      <protection/>
    </xf>
    <xf numFmtId="0" fontId="3" fillId="0" borderId="0" xfId="0" applyFont="1" applyAlignment="1" applyProtection="1">
      <alignment horizontal="left" vertical="top" wrapText="1"/>
      <protection/>
    </xf>
    <xf numFmtId="0" fontId="0" fillId="39" borderId="86" xfId="0" applyFill="1" applyBorder="1" applyAlignment="1" applyProtection="1">
      <alignment vertical="top" wrapText="1"/>
      <protection/>
    </xf>
    <xf numFmtId="0" fontId="0" fillId="0" borderId="30" xfId="0" applyBorder="1" applyAlignment="1" applyProtection="1">
      <alignment vertical="top" wrapText="1"/>
      <protection/>
    </xf>
    <xf numFmtId="0" fontId="40" fillId="24" borderId="85" xfId="0" applyNumberFormat="1" applyFont="1" applyFill="1" applyBorder="1" applyAlignment="1" applyProtection="1">
      <alignment horizontal="left" vertical="top" wrapText="1"/>
      <protection/>
    </xf>
    <xf numFmtId="0" fontId="40" fillId="24" borderId="12" xfId="0" applyNumberFormat="1" applyFont="1" applyFill="1" applyBorder="1" applyAlignment="1" applyProtection="1">
      <alignment horizontal="left" vertical="top" wrapText="1"/>
      <protection/>
    </xf>
    <xf numFmtId="0" fontId="40" fillId="24" borderId="94" xfId="0" applyNumberFormat="1" applyFont="1" applyFill="1" applyBorder="1" applyAlignment="1" applyProtection="1">
      <alignment horizontal="left" vertical="top" wrapText="1"/>
      <protection/>
    </xf>
    <xf numFmtId="0" fontId="40" fillId="24" borderId="10" xfId="0" applyNumberFormat="1" applyFont="1" applyFill="1" applyBorder="1" applyAlignment="1" applyProtection="1">
      <alignment horizontal="left" vertical="top" wrapText="1"/>
      <protection/>
    </xf>
    <xf numFmtId="0" fontId="40" fillId="24" borderId="86" xfId="0" applyNumberFormat="1" applyFont="1" applyFill="1" applyBorder="1" applyAlignment="1" applyProtection="1">
      <alignment horizontal="left" vertical="top" wrapText="1"/>
      <protection/>
    </xf>
    <xf numFmtId="0" fontId="0" fillId="0" borderId="32" xfId="0" applyBorder="1" applyAlignment="1" applyProtection="1">
      <alignment horizontal="left" vertical="top" wrapText="1"/>
      <protection/>
    </xf>
    <xf numFmtId="180" fontId="0" fillId="23" borderId="86" xfId="0" applyNumberFormat="1" applyFill="1" applyBorder="1" applyAlignment="1" applyProtection="1">
      <alignment vertical="top" wrapText="1"/>
      <protection locked="0"/>
    </xf>
    <xf numFmtId="0" fontId="0" fillId="0" borderId="30" xfId="0" applyBorder="1" applyAlignment="1" applyProtection="1">
      <alignment vertical="top" wrapText="1"/>
      <protection locked="0"/>
    </xf>
    <xf numFmtId="180" fontId="0" fillId="4" borderId="86" xfId="0" applyNumberFormat="1" applyFill="1" applyBorder="1" applyAlignment="1" applyProtection="1">
      <alignment vertical="top" wrapText="1"/>
      <protection/>
    </xf>
    <xf numFmtId="0" fontId="0" fillId="20" borderId="0" xfId="0" applyFill="1" applyAlignment="1" applyProtection="1">
      <alignment horizontal="left" vertical="top" wrapText="1"/>
      <protection/>
    </xf>
    <xf numFmtId="0" fontId="0" fillId="24" borderId="0" xfId="0" applyFill="1" applyAlignment="1" applyProtection="1">
      <alignment vertical="top" wrapText="1"/>
      <protection/>
    </xf>
    <xf numFmtId="0" fontId="55" fillId="25" borderId="0" xfId="0" applyNumberFormat="1" applyFont="1" applyFill="1" applyAlignment="1" applyProtection="1">
      <alignment horizontal="left" vertical="top" wrapText="1"/>
      <protection/>
    </xf>
    <xf numFmtId="0" fontId="56" fillId="25" borderId="0" xfId="0" applyFont="1" applyFill="1" applyAlignment="1" applyProtection="1">
      <alignment horizontal="left" vertical="top" wrapText="1"/>
      <protection/>
    </xf>
    <xf numFmtId="0" fontId="0" fillId="0" borderId="0" xfId="0" applyAlignment="1" applyProtection="1">
      <alignment vertical="top" wrapText="1"/>
      <protection/>
    </xf>
    <xf numFmtId="0" fontId="3" fillId="24" borderId="0" xfId="0" applyFont="1" applyFill="1" applyAlignment="1" applyProtection="1">
      <alignment vertical="top" wrapText="1"/>
      <protection/>
    </xf>
    <xf numFmtId="0" fontId="7" fillId="24" borderId="10" xfId="0" applyFont="1" applyFill="1" applyBorder="1" applyAlignment="1" applyProtection="1">
      <alignment vertical="top" wrapText="1"/>
      <protection/>
    </xf>
    <xf numFmtId="0" fontId="0" fillId="0" borderId="10" xfId="0" applyBorder="1" applyAlignment="1" applyProtection="1">
      <alignment vertical="top" wrapText="1"/>
      <protection/>
    </xf>
    <xf numFmtId="0" fontId="0" fillId="28" borderId="86" xfId="0" applyFill="1" applyBorder="1" applyAlignment="1" applyProtection="1">
      <alignment vertical="top" wrapText="1"/>
      <protection locked="0"/>
    </xf>
    <xf numFmtId="0" fontId="3" fillId="10" borderId="64" xfId="0" applyNumberFormat="1" applyFont="1" applyFill="1" applyBorder="1" applyAlignment="1" applyProtection="1">
      <alignment horizontal="left" vertical="center" wrapText="1"/>
      <protection/>
    </xf>
    <xf numFmtId="0" fontId="3" fillId="10" borderId="65" xfId="0" applyFont="1" applyFill="1" applyBorder="1" applyAlignment="1" applyProtection="1">
      <alignment horizontal="left" vertical="center" wrapText="1"/>
      <protection/>
    </xf>
    <xf numFmtId="0" fontId="3" fillId="10" borderId="66" xfId="0" applyFont="1" applyFill="1" applyBorder="1" applyAlignment="1" applyProtection="1">
      <alignment horizontal="left" vertical="center" wrapText="1"/>
      <protection/>
    </xf>
    <xf numFmtId="0" fontId="30" fillId="21" borderId="59" xfId="61" applyFont="1" applyFill="1" applyBorder="1" applyAlignment="1" applyProtection="1">
      <alignment horizontal="center" vertical="top" wrapText="1"/>
      <protection/>
    </xf>
    <xf numFmtId="0" fontId="27" fillId="24" borderId="0" xfId="0" applyFont="1" applyFill="1" applyAlignment="1" applyProtection="1">
      <alignment horizontal="left" vertical="top" wrapText="1"/>
      <protection/>
    </xf>
    <xf numFmtId="0" fontId="5" fillId="21" borderId="126" xfId="61" applyFill="1" applyBorder="1" applyAlignment="1" applyProtection="1">
      <alignment horizontal="center" vertical="top" wrapText="1"/>
      <protection/>
    </xf>
    <xf numFmtId="0" fontId="49" fillId="24" borderId="88" xfId="0" applyFont="1" applyFill="1" applyBorder="1" applyAlignment="1" applyProtection="1">
      <alignment vertical="top" wrapText="1"/>
      <protection/>
    </xf>
    <xf numFmtId="0" fontId="27" fillId="24" borderId="0" xfId="0" applyFont="1" applyFill="1" applyAlignment="1" applyProtection="1">
      <alignment vertical="top" wrapText="1"/>
      <protection/>
    </xf>
    <xf numFmtId="0" fontId="0" fillId="20" borderId="12" xfId="0" applyFill="1" applyBorder="1" applyAlignment="1" applyProtection="1">
      <alignment vertical="top" wrapText="1"/>
      <protection/>
    </xf>
    <xf numFmtId="0" fontId="0" fillId="21" borderId="0" xfId="0" applyFill="1" applyAlignment="1" applyProtection="1">
      <alignment vertical="top" wrapText="1"/>
      <protection/>
    </xf>
    <xf numFmtId="0" fontId="50" fillId="24" borderId="0" xfId="0" applyFont="1" applyFill="1" applyAlignment="1" applyProtection="1">
      <alignment vertical="top" wrapText="1"/>
      <protection/>
    </xf>
    <xf numFmtId="0" fontId="5" fillId="21" borderId="127" xfId="61" applyFill="1" applyBorder="1" applyAlignment="1" applyProtection="1">
      <alignment horizontal="center" vertical="top" wrapText="1"/>
      <protection/>
    </xf>
    <xf numFmtId="0" fontId="5" fillId="21" borderId="128" xfId="61" applyFill="1" applyBorder="1" applyAlignment="1" applyProtection="1">
      <alignment horizontal="center" vertical="top" wrapText="1"/>
      <protection/>
    </xf>
    <xf numFmtId="0" fontId="5" fillId="21" borderId="74" xfId="61" applyFill="1" applyBorder="1" applyAlignment="1" applyProtection="1">
      <alignment horizontal="center" vertical="top" wrapText="1"/>
      <protection/>
    </xf>
    <xf numFmtId="0" fontId="5" fillId="24" borderId="0" xfId="61" applyFill="1" applyAlignment="1" applyProtection="1">
      <alignment vertical="top" wrapText="1"/>
      <protection/>
    </xf>
    <xf numFmtId="0" fontId="5" fillId="0" borderId="0" xfId="61" applyAlignment="1" applyProtection="1">
      <alignment vertical="top" wrapText="1"/>
      <protection/>
    </xf>
    <xf numFmtId="0" fontId="31" fillId="24" borderId="0" xfId="0" applyNumberFormat="1" applyFont="1" applyFill="1" applyAlignment="1" applyProtection="1">
      <alignment horizontal="left" vertical="top" wrapText="1"/>
      <protection/>
    </xf>
    <xf numFmtId="0" fontId="31" fillId="0" borderId="0" xfId="0" applyFont="1" applyAlignment="1" applyProtection="1">
      <alignment horizontal="left" vertical="top" wrapText="1"/>
      <protection/>
    </xf>
    <xf numFmtId="0" fontId="0" fillId="20" borderId="85" xfId="0" applyFill="1" applyBorder="1" applyAlignment="1" applyProtection="1">
      <alignment horizontal="center" vertical="top" wrapText="1"/>
      <protection/>
    </xf>
    <xf numFmtId="0" fontId="0" fillId="20" borderId="12" xfId="0" applyFill="1" applyBorder="1" applyAlignment="1" applyProtection="1">
      <alignment horizontal="center" vertical="top" wrapText="1"/>
      <protection/>
    </xf>
    <xf numFmtId="0" fontId="0" fillId="20" borderId="129" xfId="0" applyFill="1" applyBorder="1" applyAlignment="1" applyProtection="1">
      <alignment horizontal="center" vertical="top" wrapText="1"/>
      <protection/>
    </xf>
    <xf numFmtId="0" fontId="0" fillId="20" borderId="88" xfId="0" applyFill="1" applyBorder="1" applyAlignment="1" applyProtection="1">
      <alignment horizontal="center" vertical="top" wrapText="1"/>
      <protection/>
    </xf>
    <xf numFmtId="0" fontId="0" fillId="20" borderId="0" xfId="0" applyFill="1" applyBorder="1" applyAlignment="1" applyProtection="1">
      <alignment horizontal="center" vertical="top" wrapText="1"/>
      <protection/>
    </xf>
    <xf numFmtId="0" fontId="0" fillId="20" borderId="28" xfId="0" applyFill="1" applyBorder="1" applyAlignment="1" applyProtection="1">
      <alignment horizontal="center" vertical="top" wrapText="1"/>
      <protection/>
    </xf>
    <xf numFmtId="0" fontId="0" fillId="20" borderId="94" xfId="0" applyFill="1" applyBorder="1" applyAlignment="1" applyProtection="1">
      <alignment horizontal="center" vertical="top" wrapText="1"/>
      <protection/>
    </xf>
    <xf numFmtId="0" fontId="0" fillId="20" borderId="10" xfId="0" applyFill="1" applyBorder="1" applyAlignment="1" applyProtection="1">
      <alignment horizontal="center" vertical="top" wrapText="1"/>
      <protection/>
    </xf>
    <xf numFmtId="0" fontId="0" fillId="20" borderId="41" xfId="0" applyFill="1" applyBorder="1" applyAlignment="1" applyProtection="1">
      <alignment horizontal="center" vertical="top" wrapText="1"/>
      <protection/>
    </xf>
    <xf numFmtId="0" fontId="0" fillId="24" borderId="0" xfId="0" applyFont="1" applyFill="1" applyAlignment="1" applyProtection="1">
      <alignment vertical="top" wrapText="1"/>
      <protection/>
    </xf>
    <xf numFmtId="0" fontId="0" fillId="32" borderId="130" xfId="0" applyNumberFormat="1" applyFont="1" applyFill="1" applyBorder="1" applyAlignment="1" applyProtection="1">
      <alignment horizontal="center" vertical="top"/>
      <protection/>
    </xf>
    <xf numFmtId="0" fontId="0" fillId="32" borderId="27" xfId="0" applyNumberFormat="1" applyFont="1" applyFill="1" applyBorder="1" applyAlignment="1" applyProtection="1">
      <alignment horizontal="center" vertical="top"/>
      <protection/>
    </xf>
    <xf numFmtId="0" fontId="0" fillId="32" borderId="131" xfId="0" applyNumberFormat="1" applyFont="1" applyFill="1" applyBorder="1" applyAlignment="1" applyProtection="1">
      <alignment horizontal="center" vertical="top"/>
      <protection/>
    </xf>
    <xf numFmtId="0" fontId="0" fillId="32" borderId="23" xfId="0" applyNumberFormat="1" applyFont="1" applyFill="1" applyBorder="1" applyAlignment="1" applyProtection="1">
      <alignment horizontal="center" vertical="top"/>
      <protection/>
    </xf>
    <xf numFmtId="0" fontId="5" fillId="21" borderId="0" xfId="61" applyFill="1" applyAlignment="1" applyProtection="1">
      <alignment horizontal="left" vertical="top" wrapText="1"/>
      <protection/>
    </xf>
    <xf numFmtId="0" fontId="0" fillId="21" borderId="0" xfId="0" applyFill="1" applyAlignment="1" applyProtection="1">
      <alignment horizontal="left" vertical="top" wrapText="1"/>
      <protection/>
    </xf>
    <xf numFmtId="0" fontId="0" fillId="32" borderId="132" xfId="0" applyNumberFormat="1" applyFont="1" applyFill="1" applyBorder="1" applyAlignment="1" applyProtection="1">
      <alignment horizontal="center" vertical="top"/>
      <protection/>
    </xf>
    <xf numFmtId="0" fontId="0" fillId="32" borderId="111" xfId="0" applyNumberFormat="1" applyFont="1" applyFill="1" applyBorder="1" applyAlignment="1" applyProtection="1">
      <alignment horizontal="center" vertical="top"/>
      <protection/>
    </xf>
    <xf numFmtId="0" fontId="0" fillId="32" borderId="114" xfId="0" applyNumberFormat="1" applyFont="1" applyFill="1" applyBorder="1" applyAlignment="1" applyProtection="1">
      <alignment horizontal="center" vertical="top"/>
      <protection/>
    </xf>
    <xf numFmtId="0" fontId="0" fillId="32" borderId="133" xfId="0" applyNumberFormat="1" applyFont="1" applyFill="1" applyBorder="1" applyAlignment="1" applyProtection="1">
      <alignment horizontal="center" vertical="top"/>
      <protection/>
    </xf>
    <xf numFmtId="0" fontId="0" fillId="28" borderId="86" xfId="0" applyFont="1" applyFill="1" applyBorder="1" applyAlignment="1" applyProtection="1">
      <alignment horizontal="left" vertical="top" wrapText="1"/>
      <protection locked="0"/>
    </xf>
    <xf numFmtId="0" fontId="0" fillId="28" borderId="32" xfId="0" applyFill="1" applyBorder="1" applyAlignment="1" applyProtection="1">
      <alignment horizontal="left" vertical="top" wrapText="1"/>
      <protection locked="0"/>
    </xf>
    <xf numFmtId="0" fontId="0" fillId="28" borderId="30" xfId="0" applyFill="1" applyBorder="1" applyAlignment="1" applyProtection="1">
      <alignment horizontal="left" vertical="top" wrapText="1"/>
      <protection locked="0"/>
    </xf>
    <xf numFmtId="0" fontId="7" fillId="31" borderId="0" xfId="0" applyFont="1" applyFill="1" applyBorder="1" applyAlignment="1" applyProtection="1">
      <alignment vertical="top" wrapText="1"/>
      <protection/>
    </xf>
    <xf numFmtId="0" fontId="0" fillId="0" borderId="0" xfId="0" applyBorder="1" applyAlignment="1" applyProtection="1">
      <alignment vertical="top" wrapText="1"/>
      <protection/>
    </xf>
    <xf numFmtId="0" fontId="39" fillId="24" borderId="0" xfId="0" applyNumberFormat="1" applyFont="1" applyFill="1" applyBorder="1" applyAlignment="1" applyProtection="1">
      <alignment horizontal="left" vertical="top" wrapText="1"/>
      <protection/>
    </xf>
    <xf numFmtId="0" fontId="7" fillId="24" borderId="0" xfId="0" applyFont="1" applyFill="1" applyAlignment="1" applyProtection="1">
      <alignment vertical="top" wrapText="1"/>
      <protection/>
    </xf>
    <xf numFmtId="0" fontId="32" fillId="24" borderId="0" xfId="0" applyFont="1" applyFill="1" applyAlignment="1" applyProtection="1">
      <alignment horizontal="left" vertical="top" wrapText="1"/>
      <protection/>
    </xf>
    <xf numFmtId="0" fontId="0" fillId="28" borderId="86" xfId="0" applyNumberFormat="1" applyFont="1" applyFill="1" applyBorder="1" applyAlignment="1" applyProtection="1">
      <alignment horizontal="left" vertical="top"/>
      <protection locked="0"/>
    </xf>
    <xf numFmtId="0" fontId="0" fillId="28" borderId="32" xfId="0" applyNumberFormat="1" applyFont="1" applyFill="1" applyBorder="1" applyAlignment="1" applyProtection="1">
      <alignment horizontal="left" vertical="top"/>
      <protection locked="0"/>
    </xf>
    <xf numFmtId="0" fontId="0" fillId="28" borderId="30" xfId="0" applyNumberFormat="1" applyFont="1" applyFill="1" applyBorder="1" applyAlignment="1" applyProtection="1">
      <alignment horizontal="left" vertical="top"/>
      <protection locked="0"/>
    </xf>
    <xf numFmtId="0" fontId="7" fillId="24" borderId="0" xfId="0" applyFont="1" applyFill="1" applyAlignment="1" applyProtection="1">
      <alignment horizontal="left" vertical="top" wrapText="1"/>
      <protection/>
    </xf>
    <xf numFmtId="0" fontId="7" fillId="31" borderId="0" xfId="0" applyFont="1" applyFill="1" applyBorder="1" applyAlignment="1" applyProtection="1">
      <alignment horizontal="left" vertical="top" wrapText="1"/>
      <protection/>
    </xf>
    <xf numFmtId="0" fontId="0" fillId="31" borderId="93" xfId="0" applyFont="1" applyFill="1" applyBorder="1" applyAlignment="1" applyProtection="1">
      <alignment horizontal="left" vertical="top" wrapText="1"/>
      <protection/>
    </xf>
    <xf numFmtId="0" fontId="0" fillId="31" borderId="93" xfId="0" applyFill="1" applyBorder="1" applyAlignment="1" applyProtection="1">
      <alignment horizontal="left" vertical="top" wrapText="1"/>
      <protection/>
    </xf>
    <xf numFmtId="0" fontId="0" fillId="31" borderId="14" xfId="0" applyFill="1" applyBorder="1" applyAlignment="1" applyProtection="1">
      <alignment horizontal="left" vertical="top" wrapText="1"/>
      <protection/>
    </xf>
    <xf numFmtId="0" fontId="0" fillId="31" borderId="92" xfId="0" applyFont="1" applyFill="1" applyBorder="1" applyAlignment="1" applyProtection="1">
      <alignment horizontal="left" vertical="top" wrapText="1"/>
      <protection/>
    </xf>
    <xf numFmtId="0" fontId="0" fillId="31" borderId="92" xfId="0" applyFill="1" applyBorder="1" applyAlignment="1" applyProtection="1">
      <alignment horizontal="left" vertical="top" wrapText="1"/>
      <protection/>
    </xf>
    <xf numFmtId="0" fontId="0" fillId="31" borderId="15" xfId="0" applyFill="1" applyBorder="1" applyAlignment="1" applyProtection="1">
      <alignment horizontal="left" vertical="top" wrapText="1"/>
      <protection/>
    </xf>
    <xf numFmtId="0" fontId="0" fillId="31" borderId="91" xfId="0" applyFont="1" applyFill="1" applyBorder="1" applyAlignment="1" applyProtection="1">
      <alignment horizontal="left" vertical="top" wrapText="1"/>
      <protection/>
    </xf>
    <xf numFmtId="0" fontId="0" fillId="31" borderId="91" xfId="0" applyFill="1" applyBorder="1" applyAlignment="1" applyProtection="1">
      <alignment horizontal="left" vertical="top" wrapText="1"/>
      <protection/>
    </xf>
    <xf numFmtId="0" fontId="0" fillId="31" borderId="13" xfId="0" applyFill="1" applyBorder="1" applyAlignment="1" applyProtection="1">
      <alignment horizontal="left" vertical="top" wrapText="1"/>
      <protection/>
    </xf>
    <xf numFmtId="0" fontId="31" fillId="4" borderId="0" xfId="0" applyNumberFormat="1" applyFont="1" applyFill="1" applyBorder="1" applyAlignment="1" applyProtection="1">
      <alignment vertical="top" wrapText="1"/>
      <protection/>
    </xf>
    <xf numFmtId="0" fontId="32" fillId="24" borderId="0" xfId="0" applyFont="1" applyFill="1" applyAlignment="1" applyProtection="1">
      <alignment vertical="top" wrapText="1"/>
      <protection/>
    </xf>
    <xf numFmtId="0" fontId="3" fillId="0" borderId="0" xfId="0" applyFont="1" applyAlignment="1" applyProtection="1">
      <alignment vertical="top" wrapText="1"/>
      <protection/>
    </xf>
    <xf numFmtId="0" fontId="0" fillId="28" borderId="107" xfId="0" applyFont="1" applyFill="1" applyBorder="1" applyAlignment="1" applyProtection="1">
      <alignment vertical="top"/>
      <protection locked="0"/>
    </xf>
    <xf numFmtId="0" fontId="0" fillId="28" borderId="93" xfId="0" applyFont="1" applyFill="1" applyBorder="1" applyAlignment="1" applyProtection="1">
      <alignment vertical="top"/>
      <protection locked="0"/>
    </xf>
    <xf numFmtId="49" fontId="0" fillId="28" borderId="107" xfId="0" applyNumberFormat="1" applyFont="1" applyFill="1" applyBorder="1" applyAlignment="1" applyProtection="1">
      <alignment horizontal="left" vertical="top"/>
      <protection locked="0"/>
    </xf>
    <xf numFmtId="49" fontId="0" fillId="0" borderId="93" xfId="0" applyNumberFormat="1" applyFont="1" applyBorder="1" applyAlignment="1" applyProtection="1">
      <alignment horizontal="left" vertical="top"/>
      <protection locked="0"/>
    </xf>
    <xf numFmtId="0" fontId="0" fillId="24" borderId="93" xfId="0" applyFont="1" applyFill="1" applyBorder="1" applyAlignment="1" applyProtection="1">
      <alignment vertical="top" wrapText="1"/>
      <protection/>
    </xf>
    <xf numFmtId="0" fontId="0" fillId="0" borderId="93" xfId="0" applyBorder="1" applyAlignment="1" applyProtection="1">
      <alignment vertical="top" wrapText="1"/>
      <protection/>
    </xf>
    <xf numFmtId="0" fontId="0" fillId="0" borderId="14" xfId="0" applyBorder="1" applyAlignment="1" applyProtection="1">
      <alignment vertical="top" wrapText="1"/>
      <protection/>
    </xf>
    <xf numFmtId="0" fontId="28" fillId="24" borderId="0" xfId="0" applyFont="1" applyFill="1" applyAlignment="1" applyProtection="1">
      <alignment vertical="top" wrapText="1"/>
      <protection/>
    </xf>
    <xf numFmtId="0" fontId="0" fillId="0" borderId="28" xfId="0" applyBorder="1" applyAlignment="1" applyProtection="1">
      <alignment vertical="top" wrapText="1"/>
      <protection/>
    </xf>
    <xf numFmtId="49" fontId="0" fillId="28" borderId="86" xfId="0" applyNumberFormat="1" applyFont="1" applyFill="1" applyBorder="1" applyAlignment="1" applyProtection="1">
      <alignment horizontal="left" vertical="top"/>
      <protection locked="0"/>
    </xf>
    <xf numFmtId="49" fontId="0" fillId="0" borderId="32" xfId="0" applyNumberFormat="1" applyFont="1" applyBorder="1" applyAlignment="1" applyProtection="1">
      <alignment horizontal="left" vertical="top"/>
      <protection locked="0"/>
    </xf>
    <xf numFmtId="49" fontId="0" fillId="0" borderId="30" xfId="0" applyNumberFormat="1" applyFont="1" applyBorder="1" applyAlignment="1" applyProtection="1">
      <alignment horizontal="left" vertical="top"/>
      <protection locked="0"/>
    </xf>
    <xf numFmtId="0" fontId="3" fillId="24" borderId="92" xfId="0" applyFont="1" applyFill="1" applyBorder="1" applyAlignment="1" applyProtection="1">
      <alignment horizontal="left" vertical="top" wrapText="1"/>
      <protection/>
    </xf>
    <xf numFmtId="0" fontId="3" fillId="24" borderId="15" xfId="0" applyFont="1" applyFill="1" applyBorder="1" applyAlignment="1" applyProtection="1">
      <alignment horizontal="left" vertical="top" wrapText="1"/>
      <protection/>
    </xf>
    <xf numFmtId="0" fontId="3" fillId="24" borderId="91" xfId="0" applyFont="1" applyFill="1" applyBorder="1" applyAlignment="1" applyProtection="1">
      <alignment horizontal="left" vertical="top" wrapText="1"/>
      <protection/>
    </xf>
    <xf numFmtId="0" fontId="3" fillId="24" borderId="13" xfId="0" applyFont="1" applyFill="1" applyBorder="1" applyAlignment="1" applyProtection="1">
      <alignment horizontal="left" vertical="top" wrapText="1"/>
      <protection/>
    </xf>
    <xf numFmtId="0" fontId="0" fillId="30" borderId="106" xfId="0" applyNumberFormat="1" applyFont="1" applyFill="1" applyBorder="1" applyAlignment="1" applyProtection="1">
      <alignment horizontal="left" vertical="top"/>
      <protection/>
    </xf>
    <xf numFmtId="0" fontId="0" fillId="30" borderId="91" xfId="0" applyNumberFormat="1" applyFont="1" applyFill="1" applyBorder="1" applyAlignment="1" applyProtection="1">
      <alignment horizontal="left" vertical="top"/>
      <protection/>
    </xf>
    <xf numFmtId="0" fontId="0" fillId="30" borderId="13" xfId="0" applyNumberFormat="1" applyFont="1" applyFill="1" applyBorder="1" applyAlignment="1" applyProtection="1">
      <alignment horizontal="left" vertical="top"/>
      <protection/>
    </xf>
    <xf numFmtId="0" fontId="0" fillId="34" borderId="108" xfId="0" applyNumberFormat="1" applyFont="1" applyFill="1" applyBorder="1" applyAlignment="1" applyProtection="1">
      <alignment horizontal="left" vertical="top"/>
      <protection locked="0"/>
    </xf>
    <xf numFmtId="0" fontId="0" fillId="34" borderId="92" xfId="0" applyNumberFormat="1" applyFont="1" applyFill="1" applyBorder="1" applyAlignment="1" applyProtection="1">
      <alignment horizontal="left" vertical="top"/>
      <protection locked="0"/>
    </xf>
    <xf numFmtId="0" fontId="0" fillId="34" borderId="15" xfId="0" applyNumberFormat="1" applyFont="1" applyFill="1" applyBorder="1" applyAlignment="1" applyProtection="1">
      <alignment horizontal="left" vertical="top"/>
      <protection locked="0"/>
    </xf>
    <xf numFmtId="0" fontId="0" fillId="28" borderId="86" xfId="0" applyNumberFormat="1" applyFont="1" applyFill="1" applyBorder="1" applyAlignment="1" applyProtection="1">
      <alignment horizontal="left" vertical="top"/>
      <protection locked="0"/>
    </xf>
    <xf numFmtId="0" fontId="0" fillId="0" borderId="32" xfId="0" applyNumberFormat="1" applyFont="1" applyBorder="1" applyAlignment="1" applyProtection="1">
      <alignment horizontal="left" vertical="top"/>
      <protection locked="0"/>
    </xf>
    <xf numFmtId="0" fontId="0" fillId="0" borderId="30" xfId="0" applyNumberFormat="1" applyFont="1" applyBorder="1" applyAlignment="1" applyProtection="1">
      <alignment horizontal="left" vertical="top"/>
      <protection locked="0"/>
    </xf>
    <xf numFmtId="0" fontId="0" fillId="4" borderId="11" xfId="0" applyNumberFormat="1" applyFont="1" applyFill="1" applyBorder="1" applyAlignment="1" applyProtection="1">
      <alignment horizontal="left" vertical="top"/>
      <protection/>
    </xf>
    <xf numFmtId="0" fontId="0" fillId="30" borderId="86" xfId="0" applyNumberFormat="1" applyFont="1" applyFill="1" applyBorder="1" applyAlignment="1" applyProtection="1">
      <alignment horizontal="left" vertical="top"/>
      <protection/>
    </xf>
    <xf numFmtId="0" fontId="0" fillId="30" borderId="32" xfId="0" applyNumberFormat="1" applyFont="1" applyFill="1" applyBorder="1" applyAlignment="1" applyProtection="1">
      <alignment horizontal="left" vertical="top"/>
      <protection/>
    </xf>
    <xf numFmtId="0" fontId="0" fillId="30" borderId="30" xfId="0" applyNumberFormat="1" applyFont="1" applyFill="1" applyBorder="1" applyAlignment="1" applyProtection="1">
      <alignment horizontal="left" vertical="top"/>
      <protection/>
    </xf>
    <xf numFmtId="0" fontId="3" fillId="24" borderId="32" xfId="0" applyFont="1" applyFill="1" applyBorder="1" applyAlignment="1" applyProtection="1">
      <alignment horizontal="left" vertical="top" wrapText="1"/>
      <protection/>
    </xf>
    <xf numFmtId="0" fontId="3" fillId="24" borderId="30" xfId="0" applyFont="1" applyFill="1" applyBorder="1" applyAlignment="1" applyProtection="1">
      <alignment horizontal="left" vertical="top" wrapText="1"/>
      <protection/>
    </xf>
    <xf numFmtId="0" fontId="3" fillId="28" borderId="86" xfId="0" applyNumberFormat="1" applyFont="1" applyFill="1" applyBorder="1" applyAlignment="1" applyProtection="1">
      <alignment horizontal="center" vertical="top"/>
      <protection locked="0"/>
    </xf>
    <xf numFmtId="0" fontId="3" fillId="28" borderId="30" xfId="0" applyNumberFormat="1" applyFont="1" applyFill="1" applyBorder="1" applyAlignment="1" applyProtection="1">
      <alignment horizontal="center" vertical="top"/>
      <protection locked="0"/>
    </xf>
    <xf numFmtId="0" fontId="0" fillId="24" borderId="92" xfId="0" applyFont="1" applyFill="1" applyBorder="1" applyAlignment="1" applyProtection="1">
      <alignment vertical="top" wrapText="1"/>
      <protection/>
    </xf>
    <xf numFmtId="0" fontId="0" fillId="0" borderId="92" xfId="0" applyBorder="1" applyAlignment="1" applyProtection="1">
      <alignment vertical="top" wrapText="1"/>
      <protection/>
    </xf>
    <xf numFmtId="0" fontId="0" fillId="0" borderId="15" xfId="0" applyBorder="1" applyAlignment="1" applyProtection="1">
      <alignment vertical="top" wrapText="1"/>
      <protection/>
    </xf>
    <xf numFmtId="49" fontId="0" fillId="23" borderId="107" xfId="0" applyNumberFormat="1" applyFont="1" applyFill="1" applyBorder="1" applyAlignment="1" applyProtection="1">
      <alignment horizontal="left" vertical="top"/>
      <protection locked="0"/>
    </xf>
    <xf numFmtId="49" fontId="0" fillId="23" borderId="93" xfId="0" applyNumberFormat="1" applyFont="1" applyFill="1" applyBorder="1" applyAlignment="1" applyProtection="1">
      <alignment horizontal="left" vertical="top"/>
      <protection locked="0"/>
    </xf>
    <xf numFmtId="49" fontId="0" fillId="23" borderId="86" xfId="0" applyNumberFormat="1" applyFont="1" applyFill="1" applyBorder="1" applyAlignment="1" applyProtection="1">
      <alignment horizontal="left" vertical="top"/>
      <protection locked="0"/>
    </xf>
    <xf numFmtId="49" fontId="0" fillId="23" borderId="32" xfId="0" applyNumberFormat="1" applyFont="1" applyFill="1" applyBorder="1" applyAlignment="1" applyProtection="1">
      <alignment horizontal="left" vertical="top"/>
      <protection locked="0"/>
    </xf>
    <xf numFmtId="49" fontId="0" fillId="23" borderId="30" xfId="0" applyNumberFormat="1" applyFont="1" applyFill="1" applyBorder="1" applyAlignment="1" applyProtection="1">
      <alignment horizontal="left" vertical="top"/>
      <protection locked="0"/>
    </xf>
    <xf numFmtId="0" fontId="28" fillId="24" borderId="0" xfId="0" applyFont="1" applyFill="1" applyAlignment="1" applyProtection="1">
      <alignment horizontal="center"/>
      <protection/>
    </xf>
    <xf numFmtId="49" fontId="0" fillId="28" borderId="106" xfId="0" applyNumberFormat="1" applyFont="1" applyFill="1" applyBorder="1" applyAlignment="1" applyProtection="1">
      <alignment horizontal="left" vertical="top"/>
      <protection locked="0"/>
    </xf>
    <xf numFmtId="49" fontId="0" fillId="0" borderId="91" xfId="0" applyNumberFormat="1" applyFont="1" applyBorder="1" applyAlignment="1" applyProtection="1">
      <alignment horizontal="left" vertical="top"/>
      <protection locked="0"/>
    </xf>
    <xf numFmtId="0" fontId="52" fillId="24" borderId="0" xfId="0" applyFont="1" applyFill="1" applyAlignment="1" applyProtection="1">
      <alignment horizontal="left" vertical="top" wrapText="1"/>
      <protection/>
    </xf>
    <xf numFmtId="0" fontId="0" fillId="28" borderId="107" xfId="0" applyNumberFormat="1" applyFont="1" applyFill="1" applyBorder="1" applyAlignment="1" applyProtection="1">
      <alignment horizontal="left" vertical="top"/>
      <protection locked="0"/>
    </xf>
    <xf numFmtId="0" fontId="0" fillId="28" borderId="14" xfId="0" applyNumberFormat="1" applyFont="1" applyFill="1" applyBorder="1" applyAlignment="1" applyProtection="1">
      <alignment horizontal="left" vertical="top"/>
      <protection locked="0"/>
    </xf>
    <xf numFmtId="0" fontId="3" fillId="31" borderId="94" xfId="0" applyNumberFormat="1" applyFont="1" applyFill="1" applyBorder="1" applyAlignment="1" applyProtection="1">
      <alignment wrapText="1"/>
      <protection/>
    </xf>
    <xf numFmtId="0" fontId="0" fillId="0" borderId="10" xfId="0" applyBorder="1" applyAlignment="1" applyProtection="1">
      <alignment wrapText="1"/>
      <protection/>
    </xf>
    <xf numFmtId="0" fontId="0" fillId="0" borderId="14" xfId="0" applyBorder="1" applyAlignment="1" applyProtection="1">
      <alignment horizontal="left" vertical="top"/>
      <protection locked="0"/>
    </xf>
    <xf numFmtId="0" fontId="0" fillId="28" borderId="106" xfId="0" applyNumberFormat="1" applyFont="1" applyFill="1" applyBorder="1" applyAlignment="1" applyProtection="1">
      <alignment horizontal="left" vertical="top"/>
      <protection locked="0"/>
    </xf>
    <xf numFmtId="0" fontId="0" fillId="28" borderId="91" xfId="0" applyNumberFormat="1" applyFont="1" applyFill="1" applyBorder="1" applyAlignment="1" applyProtection="1">
      <alignment horizontal="left" vertical="top"/>
      <protection locked="0"/>
    </xf>
    <xf numFmtId="0" fontId="0" fillId="28" borderId="13" xfId="0" applyNumberFormat="1" applyFont="1" applyFill="1" applyBorder="1" applyAlignment="1" applyProtection="1">
      <alignment horizontal="left" vertical="top"/>
      <protection locked="0"/>
    </xf>
    <xf numFmtId="0" fontId="0" fillId="28" borderId="106" xfId="0" applyNumberFormat="1" applyFont="1" applyFill="1" applyBorder="1" applyAlignment="1" applyProtection="1">
      <alignment horizontal="left" vertical="top"/>
      <protection locked="0"/>
    </xf>
    <xf numFmtId="0" fontId="0" fillId="28" borderId="106" xfId="0" applyNumberFormat="1" applyFont="1" applyFill="1" applyBorder="1" applyAlignment="1" applyProtection="1">
      <alignment vertical="top"/>
      <protection locked="0"/>
    </xf>
    <xf numFmtId="0" fontId="0" fillId="0" borderId="91" xfId="0" applyBorder="1" applyAlignment="1" applyProtection="1">
      <alignment vertical="top"/>
      <protection locked="0"/>
    </xf>
    <xf numFmtId="0" fontId="0" fillId="28" borderId="107" xfId="0" applyNumberFormat="1" applyFont="1" applyFill="1" applyBorder="1" applyAlignment="1" applyProtection="1">
      <alignment vertical="top"/>
      <protection locked="0"/>
    </xf>
    <xf numFmtId="0" fontId="0" fillId="0" borderId="93" xfId="0" applyBorder="1" applyAlignment="1" applyProtection="1">
      <alignment vertical="top"/>
      <protection locked="0"/>
    </xf>
    <xf numFmtId="0" fontId="0" fillId="0" borderId="13" xfId="0" applyBorder="1" applyAlignment="1" applyProtection="1">
      <alignment horizontal="left" vertical="top"/>
      <protection locked="0"/>
    </xf>
    <xf numFmtId="0" fontId="0" fillId="0" borderId="41" xfId="0" applyBorder="1" applyAlignment="1" applyProtection="1">
      <alignment wrapText="1"/>
      <protection/>
    </xf>
    <xf numFmtId="49" fontId="3" fillId="28" borderId="108" xfId="0" applyNumberFormat="1" applyFont="1" applyFill="1" applyBorder="1" applyAlignment="1" applyProtection="1">
      <alignment vertical="top"/>
      <protection locked="0"/>
    </xf>
    <xf numFmtId="49" fontId="3" fillId="28" borderId="15" xfId="0" applyNumberFormat="1" applyFont="1" applyFill="1" applyBorder="1" applyAlignment="1" applyProtection="1">
      <alignment vertical="top"/>
      <protection locked="0"/>
    </xf>
    <xf numFmtId="0" fontId="0" fillId="28" borderId="93" xfId="0" applyNumberFormat="1" applyFont="1" applyFill="1" applyBorder="1" applyAlignment="1" applyProtection="1">
      <alignment horizontal="left" vertical="top"/>
      <protection locked="0"/>
    </xf>
    <xf numFmtId="49" fontId="3" fillId="28" borderId="107" xfId="0" applyNumberFormat="1" applyFont="1" applyFill="1" applyBorder="1" applyAlignment="1" applyProtection="1">
      <alignment vertical="top"/>
      <protection locked="0"/>
    </xf>
    <xf numFmtId="49" fontId="3" fillId="28" borderId="14" xfId="0" applyNumberFormat="1" applyFont="1" applyFill="1" applyBorder="1" applyAlignment="1" applyProtection="1">
      <alignment vertical="top"/>
      <protection locked="0"/>
    </xf>
    <xf numFmtId="0" fontId="0" fillId="23" borderId="107" xfId="0" applyNumberFormat="1" applyFont="1" applyFill="1" applyBorder="1" applyAlignment="1" applyProtection="1">
      <alignment horizontal="left" vertical="top"/>
      <protection locked="0"/>
    </xf>
    <xf numFmtId="0" fontId="0" fillId="23" borderId="93" xfId="0" applyNumberFormat="1" applyFont="1" applyFill="1" applyBorder="1" applyAlignment="1" applyProtection="1">
      <alignment horizontal="left" vertical="top"/>
      <protection locked="0"/>
    </xf>
    <xf numFmtId="0" fontId="0" fillId="23" borderId="14" xfId="0" applyNumberFormat="1" applyFont="1" applyFill="1" applyBorder="1" applyAlignment="1" applyProtection="1">
      <alignment horizontal="left" vertical="top"/>
      <protection locked="0"/>
    </xf>
    <xf numFmtId="0" fontId="0" fillId="28" borderId="108" xfId="0" applyNumberFormat="1" applyFont="1" applyFill="1" applyBorder="1" applyAlignment="1" applyProtection="1">
      <alignment horizontal="left" vertical="top"/>
      <protection locked="0"/>
    </xf>
    <xf numFmtId="0" fontId="0" fillId="28" borderId="92" xfId="0" applyNumberFormat="1" applyFont="1" applyFill="1" applyBorder="1" applyAlignment="1" applyProtection="1">
      <alignment horizontal="left" vertical="top"/>
      <protection locked="0"/>
    </xf>
    <xf numFmtId="0" fontId="0" fillId="28" borderId="15" xfId="0" applyNumberFormat="1" applyFont="1" applyFill="1" applyBorder="1" applyAlignment="1" applyProtection="1">
      <alignment horizontal="left" vertical="top"/>
      <protection locked="0"/>
    </xf>
    <xf numFmtId="49" fontId="0" fillId="23" borderId="107" xfId="0" applyNumberFormat="1" applyFont="1" applyFill="1" applyBorder="1" applyAlignment="1" applyProtection="1">
      <alignment horizontal="left" vertical="top"/>
      <protection locked="0"/>
    </xf>
    <xf numFmtId="49" fontId="0" fillId="23" borderId="93" xfId="0" applyNumberFormat="1" applyFont="1" applyFill="1" applyBorder="1" applyAlignment="1" applyProtection="1">
      <alignment horizontal="left" vertical="top"/>
      <protection locked="0"/>
    </xf>
    <xf numFmtId="0" fontId="0" fillId="23" borderId="108" xfId="0" applyNumberFormat="1" applyFont="1" applyFill="1" applyBorder="1" applyAlignment="1" applyProtection="1">
      <alignment horizontal="left" vertical="top"/>
      <protection locked="0"/>
    </xf>
    <xf numFmtId="0" fontId="0" fillId="23" borderId="15" xfId="0" applyNumberFormat="1" applyFont="1" applyFill="1" applyBorder="1" applyAlignment="1" applyProtection="1">
      <alignment horizontal="left" vertical="top"/>
      <protection locked="0"/>
    </xf>
    <xf numFmtId="49" fontId="0" fillId="23" borderId="108" xfId="0" applyNumberFormat="1" applyFont="1" applyFill="1" applyBorder="1" applyAlignment="1" applyProtection="1">
      <alignment horizontal="left" vertical="top"/>
      <protection locked="0"/>
    </xf>
    <xf numFmtId="49" fontId="0" fillId="23" borderId="92" xfId="0" applyNumberFormat="1" applyFont="1" applyFill="1" applyBorder="1" applyAlignment="1" applyProtection="1">
      <alignment horizontal="left" vertical="top"/>
      <protection locked="0"/>
    </xf>
    <xf numFmtId="0" fontId="0" fillId="23" borderId="92" xfId="0" applyNumberFormat="1" applyFont="1" applyFill="1"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23" borderId="106" xfId="0" applyNumberFormat="1" applyFont="1" applyFill="1" applyBorder="1" applyAlignment="1" applyProtection="1">
      <alignment horizontal="left" vertical="top"/>
      <protection locked="0"/>
    </xf>
    <xf numFmtId="0" fontId="0" fillId="23" borderId="13" xfId="0" applyNumberFormat="1" applyFont="1" applyFill="1" applyBorder="1" applyAlignment="1" applyProtection="1">
      <alignment horizontal="left" vertical="top"/>
      <protection locked="0"/>
    </xf>
    <xf numFmtId="0" fontId="0" fillId="28" borderId="108" xfId="0" applyNumberFormat="1" applyFont="1" applyFill="1" applyBorder="1" applyAlignment="1" applyProtection="1">
      <alignment vertical="top"/>
      <protection locked="0"/>
    </xf>
    <xf numFmtId="0" fontId="0" fillId="0" borderId="92" xfId="0" applyBorder="1" applyAlignment="1" applyProtection="1">
      <alignment vertical="top"/>
      <protection locked="0"/>
    </xf>
    <xf numFmtId="49" fontId="3" fillId="28" borderId="106" xfId="0" applyNumberFormat="1" applyFont="1" applyFill="1" applyBorder="1" applyAlignment="1" applyProtection="1">
      <alignment vertical="top"/>
      <protection locked="0"/>
    </xf>
    <xf numFmtId="49" fontId="3" fillId="28" borderId="13" xfId="0" applyNumberFormat="1" applyFont="1" applyFill="1" applyBorder="1" applyAlignment="1" applyProtection="1">
      <alignment vertical="top"/>
      <protection locked="0"/>
    </xf>
    <xf numFmtId="0" fontId="3" fillId="0" borderId="94" xfId="0" applyNumberFormat="1" applyFont="1" applyFill="1" applyBorder="1" applyAlignment="1" applyProtection="1">
      <alignment wrapText="1"/>
      <protection/>
    </xf>
    <xf numFmtId="0" fontId="3" fillId="24" borderId="10" xfId="0" applyNumberFormat="1" applyFont="1" applyFill="1" applyBorder="1" applyAlignment="1" applyProtection="1">
      <alignment wrapText="1"/>
      <protection/>
    </xf>
    <xf numFmtId="0" fontId="0" fillId="23" borderId="91" xfId="0" applyNumberFormat="1" applyFont="1" applyFill="1" applyBorder="1" applyAlignment="1" applyProtection="1">
      <alignment horizontal="left" vertical="top"/>
      <protection locked="0"/>
    </xf>
    <xf numFmtId="49" fontId="0" fillId="23" borderId="106" xfId="0" applyNumberFormat="1" applyFont="1" applyFill="1" applyBorder="1" applyAlignment="1" applyProtection="1">
      <alignment horizontal="left" vertical="top"/>
      <protection locked="0"/>
    </xf>
    <xf numFmtId="49" fontId="0" fillId="23" borderId="91" xfId="0" applyNumberFormat="1" applyFont="1" applyFill="1" applyBorder="1" applyAlignment="1" applyProtection="1">
      <alignment horizontal="left" vertical="top"/>
      <protection locked="0"/>
    </xf>
    <xf numFmtId="0" fontId="3" fillId="24" borderId="0" xfId="0" applyFont="1" applyFill="1" applyAlignment="1" applyProtection="1">
      <alignment vertical="top" wrapText="1"/>
      <protection/>
    </xf>
    <xf numFmtId="49" fontId="0" fillId="23" borderId="108" xfId="0" applyNumberFormat="1" applyFont="1" applyFill="1" applyBorder="1" applyAlignment="1" applyProtection="1">
      <alignment horizontal="left" vertical="top"/>
      <protection locked="0"/>
    </xf>
    <xf numFmtId="49" fontId="0" fillId="23" borderId="92" xfId="0" applyNumberFormat="1" applyFont="1" applyFill="1" applyBorder="1" applyAlignment="1" applyProtection="1">
      <alignment horizontal="left" vertical="top"/>
      <protection locked="0"/>
    </xf>
    <xf numFmtId="0" fontId="0" fillId="24" borderId="91" xfId="0" applyFont="1" applyFill="1" applyBorder="1" applyAlignment="1" applyProtection="1">
      <alignment vertical="top" wrapText="1"/>
      <protection/>
    </xf>
    <xf numFmtId="0" fontId="0" fillId="0" borderId="91" xfId="0" applyBorder="1" applyAlignment="1" applyProtection="1">
      <alignment vertical="top" wrapText="1"/>
      <protection/>
    </xf>
    <xf numFmtId="0" fontId="0" fillId="0" borderId="13" xfId="0" applyBorder="1" applyAlignment="1" applyProtection="1">
      <alignment vertical="top" wrapText="1"/>
      <protection/>
    </xf>
    <xf numFmtId="0" fontId="0" fillId="28" borderId="106" xfId="0" applyFont="1" applyFill="1" applyBorder="1" applyAlignment="1" applyProtection="1">
      <alignment vertical="top"/>
      <protection locked="0"/>
    </xf>
    <xf numFmtId="0" fontId="0" fillId="0" borderId="91" xfId="0" applyFont="1" applyBorder="1" applyAlignment="1" applyProtection="1">
      <alignment/>
      <protection locked="0"/>
    </xf>
    <xf numFmtId="49" fontId="0" fillId="23" borderId="106" xfId="0" applyNumberFormat="1" applyFont="1" applyFill="1" applyBorder="1" applyAlignment="1" applyProtection="1">
      <alignment horizontal="left" vertical="top"/>
      <protection locked="0"/>
    </xf>
    <xf numFmtId="49" fontId="0" fillId="23" borderId="91" xfId="0" applyNumberFormat="1" applyFont="1" applyFill="1" applyBorder="1" applyAlignment="1" applyProtection="1">
      <alignment horizontal="left" vertical="top"/>
      <protection locked="0"/>
    </xf>
    <xf numFmtId="0" fontId="0" fillId="0" borderId="0" xfId="0" applyAlignment="1" applyProtection="1">
      <alignment wrapText="1"/>
      <protection/>
    </xf>
    <xf numFmtId="0" fontId="3" fillId="24" borderId="10" xfId="0" applyFont="1" applyFill="1" applyBorder="1" applyAlignment="1" applyProtection="1">
      <alignment vertical="top" wrapText="1"/>
      <protection/>
    </xf>
    <xf numFmtId="0" fontId="3" fillId="24" borderId="10" xfId="0" applyFont="1" applyFill="1" applyBorder="1" applyAlignment="1" applyProtection="1">
      <alignment vertical="top" wrapText="1"/>
      <protection/>
    </xf>
    <xf numFmtId="0" fontId="3" fillId="21" borderId="40" xfId="0" applyFont="1" applyFill="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28" borderId="108" xfId="0" applyFont="1" applyFill="1" applyBorder="1" applyAlignment="1" applyProtection="1">
      <alignment vertical="top"/>
      <protection locked="0"/>
    </xf>
    <xf numFmtId="0" fontId="0" fillId="28" borderId="92" xfId="0" applyFont="1" applyFill="1" applyBorder="1" applyAlignment="1" applyProtection="1">
      <alignment vertical="top"/>
      <protection locked="0"/>
    </xf>
    <xf numFmtId="0" fontId="3" fillId="31" borderId="0" xfId="0" applyFont="1" applyFill="1" applyBorder="1" applyAlignment="1" applyProtection="1">
      <alignment horizontal="left" vertical="top" wrapText="1"/>
      <protection/>
    </xf>
    <xf numFmtId="0" fontId="3" fillId="31" borderId="28" xfId="0" applyFont="1" applyFill="1" applyBorder="1" applyAlignment="1" applyProtection="1">
      <alignment horizontal="left" vertical="top" wrapText="1"/>
      <protection/>
    </xf>
    <xf numFmtId="0" fontId="0" fillId="28" borderId="11" xfId="0" applyNumberFormat="1" applyFont="1" applyFill="1" applyBorder="1" applyAlignment="1" applyProtection="1">
      <alignment horizontal="center" vertical="top"/>
      <protection locked="0"/>
    </xf>
    <xf numFmtId="0" fontId="0" fillId="33" borderId="108" xfId="0" applyNumberFormat="1" applyFont="1" applyFill="1" applyBorder="1" applyAlignment="1" applyProtection="1">
      <alignment horizontal="left" vertical="top"/>
      <protection locked="0"/>
    </xf>
    <xf numFmtId="0" fontId="0" fillId="33" borderId="92" xfId="0" applyNumberFormat="1" applyFont="1" applyFill="1" applyBorder="1" applyAlignment="1" applyProtection="1">
      <alignment horizontal="left" vertical="top"/>
      <protection locked="0"/>
    </xf>
    <xf numFmtId="0" fontId="0" fillId="33" borderId="15" xfId="0" applyNumberFormat="1" applyFont="1" applyFill="1" applyBorder="1" applyAlignment="1" applyProtection="1">
      <alignment horizontal="left" vertical="top"/>
      <protection locked="0"/>
    </xf>
    <xf numFmtId="49" fontId="0" fillId="31" borderId="0" xfId="0" applyNumberFormat="1" applyFont="1" applyFill="1" applyBorder="1" applyAlignment="1" applyProtection="1">
      <alignment horizontal="left" vertical="top"/>
      <protection/>
    </xf>
    <xf numFmtId="0" fontId="0" fillId="30" borderId="107" xfId="0" applyNumberFormat="1" applyFont="1" applyFill="1" applyBorder="1" applyAlignment="1" applyProtection="1">
      <alignment horizontal="left" vertical="top"/>
      <protection/>
    </xf>
    <xf numFmtId="0" fontId="0" fillId="30" borderId="93" xfId="0" applyNumberFormat="1" applyFont="1" applyFill="1" applyBorder="1" applyAlignment="1" applyProtection="1">
      <alignment horizontal="left" vertical="top"/>
      <protection/>
    </xf>
    <xf numFmtId="0" fontId="0" fillId="30" borderId="14" xfId="0" applyNumberFormat="1" applyFont="1" applyFill="1" applyBorder="1" applyAlignment="1" applyProtection="1">
      <alignment horizontal="left" vertical="top"/>
      <protection/>
    </xf>
    <xf numFmtId="0" fontId="0" fillId="24" borderId="108" xfId="0" applyNumberFormat="1" applyFont="1" applyFill="1" applyBorder="1" applyAlignment="1" applyProtection="1">
      <alignment horizontal="left" vertical="top" wrapText="1"/>
      <protection/>
    </xf>
    <xf numFmtId="0" fontId="0" fillId="24" borderId="92" xfId="0" applyNumberFormat="1" applyFont="1" applyFill="1" applyBorder="1" applyAlignment="1" applyProtection="1">
      <alignment horizontal="left" vertical="top" wrapText="1"/>
      <protection/>
    </xf>
    <xf numFmtId="0" fontId="0" fillId="24" borderId="15" xfId="0" applyNumberFormat="1" applyFont="1" applyFill="1" applyBorder="1" applyAlignment="1" applyProtection="1">
      <alignment horizontal="left" vertical="top" wrapText="1"/>
      <protection/>
    </xf>
    <xf numFmtId="0" fontId="0" fillId="24" borderId="109" xfId="0" applyNumberFormat="1" applyFont="1" applyFill="1" applyBorder="1" applyAlignment="1" applyProtection="1">
      <alignment horizontal="left" vertical="top" wrapText="1"/>
      <protection/>
    </xf>
    <xf numFmtId="0" fontId="0" fillId="24" borderId="95" xfId="0" applyNumberFormat="1" applyFont="1" applyFill="1" applyBorder="1" applyAlignment="1" applyProtection="1">
      <alignment horizontal="left" vertical="top" wrapText="1"/>
      <protection/>
    </xf>
    <xf numFmtId="0" fontId="0" fillId="24" borderId="18" xfId="0" applyNumberFormat="1" applyFont="1" applyFill="1" applyBorder="1" applyAlignment="1" applyProtection="1">
      <alignment horizontal="left" vertical="top" wrapText="1"/>
      <protection/>
    </xf>
    <xf numFmtId="0" fontId="0" fillId="24" borderId="107" xfId="0" applyNumberFormat="1" applyFont="1" applyFill="1" applyBorder="1" applyAlignment="1" applyProtection="1">
      <alignment horizontal="left" vertical="top" wrapText="1"/>
      <protection/>
    </xf>
    <xf numFmtId="0" fontId="0" fillId="24" borderId="93" xfId="0" applyNumberFormat="1" applyFont="1" applyFill="1" applyBorder="1" applyAlignment="1" applyProtection="1">
      <alignment horizontal="left" vertical="top" wrapText="1"/>
      <protection/>
    </xf>
    <xf numFmtId="0" fontId="0" fillId="24" borderId="14" xfId="0" applyNumberFormat="1" applyFont="1" applyFill="1" applyBorder="1" applyAlignment="1" applyProtection="1">
      <alignment horizontal="left" vertical="top" wrapText="1"/>
      <protection/>
    </xf>
    <xf numFmtId="0" fontId="0" fillId="24" borderId="114" xfId="0" applyNumberFormat="1" applyFont="1" applyFill="1" applyBorder="1" applyAlignment="1" applyProtection="1">
      <alignment horizontal="left" vertical="top" wrapText="1"/>
      <protection/>
    </xf>
    <xf numFmtId="0" fontId="0" fillId="24" borderId="110" xfId="0" applyNumberFormat="1" applyFont="1" applyFill="1" applyBorder="1" applyAlignment="1" applyProtection="1">
      <alignment horizontal="left" vertical="top" wrapText="1"/>
      <protection/>
    </xf>
    <xf numFmtId="0" fontId="0" fillId="24" borderId="111" xfId="0" applyNumberFormat="1" applyFont="1" applyFill="1" applyBorder="1" applyAlignment="1" applyProtection="1">
      <alignment horizontal="left" vertical="top" wrapText="1"/>
      <protection/>
    </xf>
    <xf numFmtId="0" fontId="0" fillId="24" borderId="114" xfId="0" applyNumberFormat="1" applyFont="1" applyFill="1" applyBorder="1" applyAlignment="1" applyProtection="1">
      <alignment horizontal="left" vertical="top"/>
      <protection/>
    </xf>
    <xf numFmtId="0" fontId="0" fillId="24" borderId="110" xfId="0" applyNumberFormat="1" applyFont="1" applyFill="1" applyBorder="1" applyAlignment="1" applyProtection="1">
      <alignment horizontal="left" vertical="top"/>
      <protection/>
    </xf>
    <xf numFmtId="0" fontId="0" fillId="24" borderId="111" xfId="0" applyNumberFormat="1" applyFont="1" applyFill="1" applyBorder="1" applyAlignment="1" applyProtection="1">
      <alignment horizontal="left" vertical="top"/>
      <protection/>
    </xf>
    <xf numFmtId="0" fontId="0" fillId="24" borderId="94" xfId="0" applyNumberFormat="1" applyFont="1" applyFill="1" applyBorder="1" applyAlignment="1" applyProtection="1">
      <alignment horizontal="left" vertical="top" wrapText="1"/>
      <protection/>
    </xf>
    <xf numFmtId="0" fontId="0" fillId="0" borderId="10" xfId="0" applyNumberFormat="1" applyBorder="1" applyAlignment="1" applyProtection="1">
      <alignment horizontal="left" vertical="top" wrapText="1"/>
      <protection/>
    </xf>
    <xf numFmtId="0" fontId="0" fillId="0" borderId="41" xfId="0" applyNumberFormat="1" applyBorder="1" applyAlignment="1" applyProtection="1">
      <alignment horizontal="left" vertical="top" wrapText="1"/>
      <protection/>
    </xf>
    <xf numFmtId="0" fontId="29" fillId="4" borderId="64" xfId="0" applyFont="1" applyFill="1" applyBorder="1" applyAlignment="1" applyProtection="1">
      <alignment horizontal="center" vertical="center" wrapText="1"/>
      <protection/>
    </xf>
    <xf numFmtId="0" fontId="29" fillId="4" borderId="65" xfId="0" applyFont="1" applyFill="1" applyBorder="1" applyAlignment="1" applyProtection="1">
      <alignment horizontal="center" vertical="center" wrapText="1"/>
      <protection/>
    </xf>
    <xf numFmtId="0" fontId="29" fillId="4" borderId="66" xfId="0" applyFont="1" applyFill="1" applyBorder="1" applyAlignment="1" applyProtection="1">
      <alignment horizontal="center" vertical="center" wrapText="1"/>
      <protection/>
    </xf>
    <xf numFmtId="0" fontId="3" fillId="30" borderId="37" xfId="0" applyFont="1" applyFill="1" applyBorder="1" applyAlignment="1" applyProtection="1">
      <alignment horizontal="center" vertical="center"/>
      <protection/>
    </xf>
    <xf numFmtId="0" fontId="0" fillId="30" borderId="109" xfId="0" applyNumberFormat="1" applyFont="1" applyFill="1" applyBorder="1" applyAlignment="1" applyProtection="1">
      <alignment horizontal="left" vertical="top"/>
      <protection/>
    </xf>
    <xf numFmtId="0" fontId="0" fillId="30" borderId="95" xfId="0" applyNumberFormat="1" applyFont="1" applyFill="1" applyBorder="1" applyAlignment="1" applyProtection="1">
      <alignment horizontal="left" vertical="top"/>
      <protection/>
    </xf>
    <xf numFmtId="0" fontId="0" fillId="30" borderId="18" xfId="0" applyNumberFormat="1" applyFont="1" applyFill="1" applyBorder="1" applyAlignment="1" applyProtection="1">
      <alignment horizontal="left" vertical="top"/>
      <protection/>
    </xf>
    <xf numFmtId="0" fontId="0" fillId="30" borderId="106" xfId="0" applyNumberFormat="1" applyFont="1" applyFill="1" applyBorder="1" applyAlignment="1" applyProtection="1">
      <alignment horizontal="left" vertical="top"/>
      <protection/>
    </xf>
    <xf numFmtId="0" fontId="0" fillId="30" borderId="91" xfId="0" applyNumberFormat="1" applyFont="1" applyFill="1" applyBorder="1" applyAlignment="1" applyProtection="1">
      <alignment horizontal="left" vertical="top"/>
      <protection/>
    </xf>
    <xf numFmtId="0" fontId="0" fillId="30" borderId="13" xfId="0" applyNumberFormat="1" applyFont="1" applyFill="1" applyBorder="1" applyAlignment="1" applyProtection="1">
      <alignment horizontal="left" vertical="top"/>
      <protection/>
    </xf>
    <xf numFmtId="0" fontId="0" fillId="30" borderId="108" xfId="0" applyNumberFormat="1" applyFont="1" applyFill="1" applyBorder="1" applyAlignment="1" applyProtection="1">
      <alignment horizontal="left" vertical="top"/>
      <protection/>
    </xf>
    <xf numFmtId="0" fontId="0" fillId="30" borderId="92" xfId="0" applyNumberFormat="1" applyFont="1" applyFill="1" applyBorder="1" applyAlignment="1" applyProtection="1">
      <alignment horizontal="left" vertical="top"/>
      <protection/>
    </xf>
    <xf numFmtId="0" fontId="0" fillId="30" borderId="15" xfId="0" applyNumberFormat="1" applyFont="1" applyFill="1" applyBorder="1" applyAlignment="1" applyProtection="1">
      <alignment horizontal="left" vertical="top"/>
      <protection/>
    </xf>
    <xf numFmtId="0" fontId="3" fillId="24" borderId="94" xfId="0" applyNumberFormat="1" applyFont="1" applyFill="1" applyBorder="1" applyAlignment="1" applyProtection="1">
      <alignment horizontal="left" wrapText="1"/>
      <protection/>
    </xf>
    <xf numFmtId="0" fontId="3" fillId="24" borderId="10" xfId="0" applyNumberFormat="1" applyFont="1" applyFill="1" applyBorder="1" applyAlignment="1" applyProtection="1">
      <alignment horizontal="left" wrapText="1"/>
      <protection/>
    </xf>
    <xf numFmtId="0" fontId="3" fillId="24" borderId="41" xfId="0" applyNumberFormat="1" applyFont="1" applyFill="1" applyBorder="1" applyAlignment="1" applyProtection="1">
      <alignment horizontal="left" wrapText="1"/>
      <protection/>
    </xf>
    <xf numFmtId="0" fontId="3" fillId="24" borderId="41" xfId="0" applyNumberFormat="1" applyFont="1" applyFill="1" applyBorder="1" applyAlignment="1" applyProtection="1">
      <alignment wrapText="1"/>
      <protection/>
    </xf>
    <xf numFmtId="0" fontId="0" fillId="28" borderId="109" xfId="0" applyNumberFormat="1" applyFont="1" applyFill="1" applyBorder="1" applyAlignment="1" applyProtection="1">
      <alignment horizontal="left" vertical="top"/>
      <protection locked="0"/>
    </xf>
    <xf numFmtId="0" fontId="0" fillId="28" borderId="95" xfId="0" applyNumberFormat="1" applyFont="1" applyFill="1" applyBorder="1" applyAlignment="1" applyProtection="1">
      <alignment horizontal="left" vertical="top"/>
      <protection locked="0"/>
    </xf>
    <xf numFmtId="0" fontId="0" fillId="28" borderId="18" xfId="0" applyNumberFormat="1" applyFont="1" applyFill="1" applyBorder="1" applyAlignment="1" applyProtection="1">
      <alignment horizontal="left" vertical="top"/>
      <protection locked="0"/>
    </xf>
    <xf numFmtId="0" fontId="28" fillId="24" borderId="0" xfId="0" applyFont="1" applyFill="1" applyAlignment="1" applyProtection="1">
      <alignment horizontal="left" vertical="center" wrapText="1"/>
      <protection/>
    </xf>
    <xf numFmtId="0" fontId="28" fillId="24" borderId="19" xfId="0" applyFont="1" applyFill="1" applyBorder="1" applyAlignment="1" applyProtection="1">
      <alignment horizontal="left" vertical="center" wrapText="1"/>
      <protection/>
    </xf>
    <xf numFmtId="0" fontId="3" fillId="30" borderId="64" xfId="0" applyFont="1" applyFill="1" applyBorder="1" applyAlignment="1" applyProtection="1">
      <alignment horizontal="center" vertical="center" wrapText="1"/>
      <protection/>
    </xf>
    <xf numFmtId="0" fontId="3" fillId="30" borderId="65" xfId="0" applyFont="1" applyFill="1" applyBorder="1" applyAlignment="1" applyProtection="1">
      <alignment horizontal="center" vertical="center" wrapText="1"/>
      <protection/>
    </xf>
    <xf numFmtId="0" fontId="3" fillId="30" borderId="66" xfId="0" applyFont="1" applyFill="1" applyBorder="1" applyAlignment="1" applyProtection="1">
      <alignment horizontal="center" vertical="center" wrapText="1"/>
      <protection/>
    </xf>
    <xf numFmtId="0" fontId="3" fillId="24" borderId="88" xfId="0" applyNumberFormat="1" applyFont="1" applyFill="1" applyBorder="1" applyAlignment="1" applyProtection="1">
      <alignment horizontal="left" wrapText="1"/>
      <protection/>
    </xf>
    <xf numFmtId="0" fontId="3" fillId="24" borderId="0" xfId="0" applyNumberFormat="1" applyFont="1" applyFill="1" applyBorder="1" applyAlignment="1" applyProtection="1">
      <alignment horizontal="left" wrapText="1"/>
      <protection/>
    </xf>
    <xf numFmtId="0" fontId="0" fillId="24" borderId="114" xfId="0" applyNumberFormat="1" applyFont="1" applyFill="1" applyBorder="1" applyAlignment="1" applyProtection="1">
      <alignment horizontal="left" vertical="center"/>
      <protection/>
    </xf>
    <xf numFmtId="0" fontId="0" fillId="24" borderId="110" xfId="0" applyNumberFormat="1" applyFont="1" applyFill="1" applyBorder="1" applyAlignment="1" applyProtection="1">
      <alignment horizontal="left" vertical="center"/>
      <protection/>
    </xf>
    <xf numFmtId="0" fontId="0" fillId="24" borderId="133" xfId="0" applyNumberFormat="1" applyFont="1" applyFill="1" applyBorder="1" applyAlignment="1" applyProtection="1">
      <alignment horizontal="left" vertical="center"/>
      <protection/>
    </xf>
    <xf numFmtId="0" fontId="0" fillId="30" borderId="134" xfId="0" applyNumberFormat="1" applyFont="1" applyFill="1" applyBorder="1" applyAlignment="1" applyProtection="1">
      <alignment horizontal="left" vertical="center"/>
      <protection/>
    </xf>
    <xf numFmtId="0" fontId="0" fillId="30" borderId="82" xfId="0" applyNumberFormat="1" applyFont="1" applyFill="1" applyBorder="1" applyAlignment="1" applyProtection="1">
      <alignment horizontal="left" vertical="center"/>
      <protection/>
    </xf>
    <xf numFmtId="0" fontId="0" fillId="30" borderId="84" xfId="0" applyNumberFormat="1" applyFont="1" applyFill="1" applyBorder="1" applyAlignment="1" applyProtection="1">
      <alignment horizontal="left" vertical="center"/>
      <protection/>
    </xf>
    <xf numFmtId="0" fontId="0" fillId="30" borderId="107" xfId="0" applyNumberFormat="1" applyFont="1" applyFill="1" applyBorder="1" applyAlignment="1" applyProtection="1">
      <alignment horizontal="left" vertical="center"/>
      <protection/>
    </xf>
    <xf numFmtId="0" fontId="0" fillId="30" borderId="93" xfId="0" applyNumberFormat="1" applyFont="1" applyFill="1" applyBorder="1" applyAlignment="1" applyProtection="1">
      <alignment horizontal="left" vertical="center"/>
      <protection/>
    </xf>
    <xf numFmtId="0" fontId="0" fillId="30" borderId="135" xfId="0" applyNumberFormat="1" applyFont="1" applyFill="1" applyBorder="1" applyAlignment="1" applyProtection="1">
      <alignment horizontal="left" vertical="center"/>
      <protection/>
    </xf>
    <xf numFmtId="0" fontId="28" fillId="24" borderId="0" xfId="0" applyFont="1" applyFill="1" applyAlignment="1" applyProtection="1">
      <alignment vertical="center" wrapText="1"/>
      <protection/>
    </xf>
    <xf numFmtId="0" fontId="0" fillId="0" borderId="0" xfId="0" applyAlignment="1" applyProtection="1">
      <alignment vertical="center" wrapText="1"/>
      <protection/>
    </xf>
    <xf numFmtId="0" fontId="0" fillId="31" borderId="107" xfId="0" applyNumberFormat="1" applyFont="1" applyFill="1" applyBorder="1" applyAlignment="1" applyProtection="1">
      <alignment horizontal="left" vertical="center" wrapText="1"/>
      <protection/>
    </xf>
    <xf numFmtId="0" fontId="0" fillId="31" borderId="93" xfId="0" applyNumberFormat="1" applyFont="1" applyFill="1" applyBorder="1" applyAlignment="1" applyProtection="1">
      <alignment horizontal="left" vertical="center" wrapText="1"/>
      <protection/>
    </xf>
    <xf numFmtId="0" fontId="0" fillId="31" borderId="135" xfId="0" applyNumberFormat="1" applyFont="1" applyFill="1" applyBorder="1" applyAlignment="1" applyProtection="1">
      <alignment horizontal="left" vertical="center" wrapText="1"/>
      <protection/>
    </xf>
    <xf numFmtId="0" fontId="0" fillId="31" borderId="136" xfId="0" applyNumberFormat="1" applyFont="1" applyFill="1" applyBorder="1" applyAlignment="1" applyProtection="1">
      <alignment horizontal="left" vertical="center" wrapText="1"/>
      <protection/>
    </xf>
    <xf numFmtId="0" fontId="0" fillId="31" borderId="120" xfId="0" applyNumberFormat="1" applyFont="1" applyFill="1" applyBorder="1" applyAlignment="1" applyProtection="1">
      <alignment horizontal="left" vertical="center" wrapText="1"/>
      <protection/>
    </xf>
    <xf numFmtId="0" fontId="0" fillId="31" borderId="137" xfId="0" applyNumberFormat="1" applyFont="1" applyFill="1" applyBorder="1" applyAlignment="1" applyProtection="1">
      <alignment horizontal="left" vertical="center" wrapText="1"/>
      <protection/>
    </xf>
    <xf numFmtId="0" fontId="0" fillId="31" borderId="136" xfId="0" applyNumberFormat="1" applyFont="1" applyFill="1" applyBorder="1" applyAlignment="1" applyProtection="1">
      <alignment horizontal="left" vertical="center"/>
      <protection/>
    </xf>
    <xf numFmtId="0" fontId="0" fillId="31" borderId="120" xfId="0" applyNumberFormat="1" applyFont="1" applyFill="1" applyBorder="1" applyAlignment="1" applyProtection="1">
      <alignment horizontal="left" vertical="center"/>
      <protection/>
    </xf>
    <xf numFmtId="0" fontId="0" fillId="31" borderId="137" xfId="0" applyNumberFormat="1" applyFont="1" applyFill="1" applyBorder="1" applyAlignment="1" applyProtection="1">
      <alignment horizontal="left" vertical="center"/>
      <protection/>
    </xf>
    <xf numFmtId="0" fontId="0" fillId="31" borderId="109" xfId="0" applyNumberFormat="1" applyFont="1" applyFill="1" applyBorder="1" applyAlignment="1" applyProtection="1">
      <alignment horizontal="left" vertical="center" wrapText="1"/>
      <protection/>
    </xf>
    <xf numFmtId="0" fontId="0" fillId="31" borderId="95" xfId="0" applyNumberFormat="1" applyFont="1" applyFill="1" applyBorder="1" applyAlignment="1" applyProtection="1">
      <alignment horizontal="left" vertical="center" wrapText="1"/>
      <protection/>
    </xf>
    <xf numFmtId="0" fontId="0" fillId="31" borderId="138" xfId="0" applyNumberFormat="1" applyFont="1" applyFill="1" applyBorder="1" applyAlignment="1" applyProtection="1">
      <alignment horizontal="left" vertical="center" wrapText="1"/>
      <protection/>
    </xf>
    <xf numFmtId="0" fontId="0" fillId="30" borderId="108" xfId="0" applyNumberFormat="1" applyFont="1" applyFill="1" applyBorder="1" applyAlignment="1" applyProtection="1">
      <alignment horizontal="left" vertical="center"/>
      <protection/>
    </xf>
    <xf numFmtId="0" fontId="0" fillId="30" borderId="92" xfId="0" applyNumberFormat="1" applyFont="1" applyFill="1" applyBorder="1" applyAlignment="1" applyProtection="1">
      <alignment horizontal="left" vertical="center"/>
      <protection/>
    </xf>
    <xf numFmtId="0" fontId="0" fillId="30" borderId="139" xfId="0" applyNumberFormat="1" applyFont="1" applyFill="1" applyBorder="1" applyAlignment="1" applyProtection="1">
      <alignment horizontal="left" vertical="center"/>
      <protection/>
    </xf>
    <xf numFmtId="0" fontId="102" fillId="24" borderId="0" xfId="0" applyFont="1" applyFill="1" applyAlignment="1" applyProtection="1">
      <alignment horizontal="left" vertical="top" wrapText="1"/>
      <protection/>
    </xf>
    <xf numFmtId="0" fontId="103" fillId="24" borderId="0" xfId="0" applyFont="1" applyFill="1" applyAlignment="1" applyProtection="1">
      <alignment horizontal="left" vertical="top" wrapText="1"/>
      <protection/>
    </xf>
    <xf numFmtId="0" fontId="0" fillId="4" borderId="86" xfId="0" applyNumberFormat="1" applyFont="1" applyFill="1" applyBorder="1" applyAlignment="1" applyProtection="1">
      <alignment vertical="top" wrapText="1"/>
      <protection/>
    </xf>
    <xf numFmtId="0" fontId="0" fillId="0" borderId="32" xfId="0" applyNumberFormat="1" applyBorder="1" applyAlignment="1" applyProtection="1">
      <alignment vertical="top" wrapText="1"/>
      <protection/>
    </xf>
    <xf numFmtId="0" fontId="0" fillId="0" borderId="30" xfId="0" applyNumberFormat="1" applyBorder="1" applyAlignment="1" applyProtection="1">
      <alignment vertical="top" wrapText="1"/>
      <protection/>
    </xf>
    <xf numFmtId="0" fontId="0" fillId="4" borderId="86" xfId="0" applyNumberFormat="1" applyFont="1" applyFill="1" applyBorder="1" applyAlignment="1" applyProtection="1">
      <alignment horizontal="left" vertical="top" wrapText="1"/>
      <protection/>
    </xf>
    <xf numFmtId="0" fontId="0" fillId="0" borderId="32" xfId="0" applyNumberFormat="1" applyBorder="1" applyAlignment="1" applyProtection="1">
      <alignment horizontal="left" vertical="top" wrapText="1"/>
      <protection/>
    </xf>
    <xf numFmtId="0" fontId="0" fillId="0" borderId="30" xfId="0" applyNumberFormat="1" applyBorder="1" applyAlignment="1" applyProtection="1">
      <alignment horizontal="left" vertical="top" wrapText="1"/>
      <protection/>
    </xf>
    <xf numFmtId="0" fontId="0" fillId="4" borderId="32" xfId="0" applyNumberFormat="1" applyFont="1" applyFill="1" applyBorder="1" applyAlignment="1" applyProtection="1">
      <alignment vertical="top" wrapText="1"/>
      <protection/>
    </xf>
    <xf numFmtId="0" fontId="0" fillId="4" borderId="30" xfId="0" applyNumberFormat="1" applyFont="1" applyFill="1" applyBorder="1" applyAlignment="1" applyProtection="1">
      <alignment vertical="top" wrapText="1"/>
      <protection/>
    </xf>
    <xf numFmtId="0" fontId="0" fillId="4" borderId="11" xfId="0" applyNumberFormat="1" applyFont="1" applyFill="1" applyBorder="1" applyAlignment="1" applyProtection="1">
      <alignment horizontal="left" vertical="center" wrapText="1"/>
      <protection/>
    </xf>
    <xf numFmtId="0" fontId="0" fillId="24" borderId="94" xfId="0" applyNumberFormat="1" applyFont="1" applyFill="1" applyBorder="1" applyAlignment="1" applyProtection="1">
      <alignment vertical="top" wrapText="1"/>
      <protection/>
    </xf>
    <xf numFmtId="0" fontId="0" fillId="24" borderId="10" xfId="0" applyNumberFormat="1" applyFont="1" applyFill="1" applyBorder="1" applyAlignment="1" applyProtection="1">
      <alignment vertical="top" wrapText="1"/>
      <protection/>
    </xf>
    <xf numFmtId="0" fontId="0" fillId="24" borderId="41" xfId="0" applyNumberFormat="1" applyFont="1" applyFill="1" applyBorder="1" applyAlignment="1" applyProtection="1">
      <alignment vertical="top" wrapText="1"/>
      <protection/>
    </xf>
    <xf numFmtId="0" fontId="0" fillId="4" borderId="86" xfId="0" applyFont="1" applyFill="1" applyBorder="1" applyAlignment="1" applyProtection="1">
      <alignment vertical="top" wrapText="1"/>
      <protection/>
    </xf>
    <xf numFmtId="0" fontId="0" fillId="0" borderId="32" xfId="0" applyBorder="1" applyAlignment="1" applyProtection="1">
      <alignment vertical="top" wrapText="1"/>
      <protection/>
    </xf>
    <xf numFmtId="0" fontId="2" fillId="26" borderId="0" xfId="0" applyFont="1" applyFill="1" applyBorder="1" applyAlignment="1" applyProtection="1">
      <alignment vertical="center" wrapText="1"/>
      <protection/>
    </xf>
    <xf numFmtId="0" fontId="0" fillId="30" borderId="86" xfId="0" applyNumberFormat="1" applyFont="1" applyFill="1" applyBorder="1" applyAlignment="1" applyProtection="1">
      <alignment horizontal="center" vertical="top"/>
      <protection/>
    </xf>
    <xf numFmtId="0" fontId="0" fillId="30" borderId="30" xfId="0" applyNumberFormat="1" applyFont="1" applyFill="1" applyBorder="1" applyAlignment="1" applyProtection="1">
      <alignment horizontal="center" vertical="top"/>
      <protection/>
    </xf>
    <xf numFmtId="0" fontId="0" fillId="24" borderId="94" xfId="0" applyNumberFormat="1" applyFont="1" applyFill="1" applyBorder="1" applyAlignment="1" applyProtection="1">
      <alignment horizontal="left" vertical="top"/>
      <protection/>
    </xf>
    <xf numFmtId="0" fontId="0" fillId="0" borderId="10" xfId="0" applyNumberFormat="1" applyBorder="1" applyAlignment="1" applyProtection="1">
      <alignment horizontal="left" vertical="top"/>
      <protection/>
    </xf>
    <xf numFmtId="0" fontId="0" fillId="0" borderId="41" xfId="0" applyNumberFormat="1" applyBorder="1" applyAlignment="1" applyProtection="1">
      <alignment horizontal="left" vertical="top"/>
      <protection/>
    </xf>
    <xf numFmtId="0" fontId="83" fillId="31" borderId="94" xfId="0" applyNumberFormat="1" applyFont="1" applyFill="1" applyBorder="1" applyAlignment="1" applyProtection="1">
      <alignment wrapText="1"/>
      <protection/>
    </xf>
    <xf numFmtId="0" fontId="83" fillId="31" borderId="10" xfId="0" applyNumberFormat="1" applyFont="1" applyFill="1" applyBorder="1" applyAlignment="1" applyProtection="1">
      <alignment wrapText="1"/>
      <protection/>
    </xf>
    <xf numFmtId="0" fontId="83" fillId="31" borderId="41" xfId="0" applyNumberFormat="1" applyFont="1" applyFill="1" applyBorder="1" applyAlignment="1" applyProtection="1">
      <alignment wrapText="1"/>
      <protection/>
    </xf>
    <xf numFmtId="0" fontId="82" fillId="24" borderId="114" xfId="0" applyNumberFormat="1" applyFont="1" applyFill="1" applyBorder="1" applyAlignment="1" applyProtection="1">
      <alignment horizontal="left" vertical="top"/>
      <protection/>
    </xf>
    <xf numFmtId="0" fontId="82" fillId="24" borderId="110" xfId="0" applyNumberFormat="1" applyFont="1" applyFill="1" applyBorder="1" applyAlignment="1" applyProtection="1">
      <alignment horizontal="left" vertical="top"/>
      <protection/>
    </xf>
    <xf numFmtId="0" fontId="82" fillId="24" borderId="111" xfId="0" applyNumberFormat="1" applyFont="1" applyFill="1" applyBorder="1" applyAlignment="1" applyProtection="1">
      <alignment horizontal="left" vertical="top"/>
      <protection/>
    </xf>
    <xf numFmtId="0" fontId="82" fillId="30" borderId="134" xfId="0" applyNumberFormat="1" applyFont="1" applyFill="1" applyBorder="1" applyAlignment="1" applyProtection="1">
      <alignment horizontal="left" vertical="top"/>
      <protection/>
    </xf>
    <xf numFmtId="0" fontId="82" fillId="30" borderId="82" xfId="0" applyNumberFormat="1" applyFont="1" applyFill="1" applyBorder="1" applyAlignment="1" applyProtection="1">
      <alignment horizontal="left" vertical="top"/>
      <protection/>
    </xf>
    <xf numFmtId="0" fontId="82" fillId="30" borderId="83" xfId="0" applyNumberFormat="1" applyFont="1" applyFill="1" applyBorder="1" applyAlignment="1" applyProtection="1">
      <alignment horizontal="left" vertical="top"/>
      <protection/>
    </xf>
    <xf numFmtId="0" fontId="82" fillId="30" borderId="107" xfId="0" applyNumberFormat="1" applyFont="1" applyFill="1" applyBorder="1" applyAlignment="1" applyProtection="1">
      <alignment horizontal="left" vertical="top"/>
      <protection/>
    </xf>
    <xf numFmtId="0" fontId="82" fillId="30" borderId="93" xfId="0" applyNumberFormat="1" applyFont="1" applyFill="1" applyBorder="1" applyAlignment="1" applyProtection="1">
      <alignment horizontal="left" vertical="top"/>
      <protection/>
    </xf>
    <xf numFmtId="0" fontId="82" fillId="30" borderId="14" xfId="0" applyNumberFormat="1" applyFont="1" applyFill="1" applyBorder="1" applyAlignment="1" applyProtection="1">
      <alignment horizontal="left" vertical="top"/>
      <protection/>
    </xf>
    <xf numFmtId="0" fontId="82" fillId="30" borderId="108" xfId="0" applyNumberFormat="1" applyFont="1" applyFill="1" applyBorder="1" applyAlignment="1" applyProtection="1">
      <alignment horizontal="left" vertical="top"/>
      <protection/>
    </xf>
    <xf numFmtId="0" fontId="82" fillId="30" borderId="92" xfId="0" applyNumberFormat="1" applyFont="1" applyFill="1" applyBorder="1" applyAlignment="1" applyProtection="1">
      <alignment horizontal="left" vertical="top"/>
      <protection/>
    </xf>
    <xf numFmtId="0" fontId="82" fillId="30" borderId="15" xfId="0" applyNumberFormat="1" applyFont="1" applyFill="1" applyBorder="1" applyAlignment="1" applyProtection="1">
      <alignment horizontal="left" vertical="top"/>
      <protection/>
    </xf>
    <xf numFmtId="0" fontId="82" fillId="24" borderId="109" xfId="0" applyNumberFormat="1" applyFont="1" applyFill="1" applyBorder="1" applyAlignment="1" applyProtection="1">
      <alignment horizontal="left" vertical="top" wrapText="1"/>
      <protection/>
    </xf>
    <xf numFmtId="0" fontId="82" fillId="24" borderId="95" xfId="0" applyNumberFormat="1" applyFont="1" applyFill="1" applyBorder="1" applyAlignment="1" applyProtection="1">
      <alignment horizontal="left" vertical="top" wrapText="1"/>
      <protection/>
    </xf>
    <xf numFmtId="0" fontId="82" fillId="24" borderId="18" xfId="0" applyNumberFormat="1" applyFont="1" applyFill="1" applyBorder="1" applyAlignment="1" applyProtection="1">
      <alignment horizontal="left" vertical="top" wrapText="1"/>
      <protection/>
    </xf>
    <xf numFmtId="0" fontId="82" fillId="24" borderId="107" xfId="0" applyNumberFormat="1" applyFont="1" applyFill="1" applyBorder="1" applyAlignment="1" applyProtection="1">
      <alignment horizontal="left" vertical="top" wrapText="1"/>
      <protection/>
    </xf>
    <xf numFmtId="0" fontId="82" fillId="24" borderId="93" xfId="0" applyNumberFormat="1" applyFont="1" applyFill="1" applyBorder="1" applyAlignment="1" applyProtection="1">
      <alignment horizontal="left" vertical="top" wrapText="1"/>
      <protection/>
    </xf>
    <xf numFmtId="0" fontId="82" fillId="24" borderId="14" xfId="0" applyNumberFormat="1" applyFont="1" applyFill="1" applyBorder="1" applyAlignment="1" applyProtection="1">
      <alignment horizontal="left" vertical="top" wrapText="1"/>
      <protection/>
    </xf>
    <xf numFmtId="0" fontId="82" fillId="24" borderId="108" xfId="0" applyNumberFormat="1" applyFont="1" applyFill="1" applyBorder="1" applyAlignment="1" applyProtection="1">
      <alignment horizontal="left" vertical="top" wrapText="1"/>
      <protection/>
    </xf>
    <xf numFmtId="0" fontId="82" fillId="24" borderId="92" xfId="0" applyNumberFormat="1" applyFont="1" applyFill="1" applyBorder="1" applyAlignment="1" applyProtection="1">
      <alignment horizontal="left" vertical="top" wrapText="1"/>
      <protection/>
    </xf>
    <xf numFmtId="0" fontId="82" fillId="24" borderId="15" xfId="0" applyNumberFormat="1" applyFont="1" applyFill="1" applyBorder="1" applyAlignment="1" applyProtection="1">
      <alignment horizontal="left" vertical="top" wrapText="1"/>
      <protection/>
    </xf>
    <xf numFmtId="0" fontId="82" fillId="24" borderId="114" xfId="0" applyNumberFormat="1" applyFont="1" applyFill="1" applyBorder="1" applyAlignment="1" applyProtection="1">
      <alignment horizontal="left" vertical="top" wrapText="1"/>
      <protection/>
    </xf>
    <xf numFmtId="0" fontId="82" fillId="24" borderId="110" xfId="0" applyNumberFormat="1" applyFont="1" applyFill="1" applyBorder="1" applyAlignment="1" applyProtection="1">
      <alignment horizontal="left" vertical="top" wrapText="1"/>
      <protection/>
    </xf>
    <xf numFmtId="0" fontId="82" fillId="24" borderId="111" xfId="0" applyNumberFormat="1" applyFont="1" applyFill="1" applyBorder="1" applyAlignment="1" applyProtection="1">
      <alignment horizontal="left" vertical="top" wrapText="1"/>
      <protection/>
    </xf>
    <xf numFmtId="0" fontId="82" fillId="24" borderId="94" xfId="0" applyNumberFormat="1" applyFont="1" applyFill="1" applyBorder="1" applyAlignment="1" applyProtection="1">
      <alignment horizontal="left" vertical="top"/>
      <protection/>
    </xf>
    <xf numFmtId="0" fontId="82" fillId="0" borderId="10" xfId="0" applyNumberFormat="1" applyFont="1" applyBorder="1" applyAlignment="1" applyProtection="1">
      <alignment horizontal="left" vertical="top"/>
      <protection/>
    </xf>
    <xf numFmtId="0" fontId="82" fillId="0" borderId="41" xfId="0" applyNumberFormat="1" applyFont="1" applyBorder="1" applyAlignment="1" applyProtection="1">
      <alignment horizontal="left" vertical="top"/>
      <protection/>
    </xf>
    <xf numFmtId="0" fontId="81" fillId="24" borderId="0" xfId="0" applyFont="1" applyFill="1" applyAlignment="1" applyProtection="1">
      <alignment vertical="center" wrapText="1"/>
      <protection/>
    </xf>
    <xf numFmtId="0" fontId="82" fillId="0" borderId="0" xfId="0" applyFont="1" applyAlignment="1" applyProtection="1">
      <alignment vertical="center" wrapText="1"/>
      <protection/>
    </xf>
    <xf numFmtId="0" fontId="83" fillId="24" borderId="94" xfId="0" applyNumberFormat="1" applyFont="1" applyFill="1" applyBorder="1" applyAlignment="1" applyProtection="1">
      <alignment horizontal="left" wrapText="1"/>
      <protection/>
    </xf>
    <xf numFmtId="0" fontId="83" fillId="24" borderId="10" xfId="0" applyNumberFormat="1" applyFont="1" applyFill="1" applyBorder="1" applyAlignment="1" applyProtection="1">
      <alignment horizontal="left" wrapText="1"/>
      <protection/>
    </xf>
    <xf numFmtId="0" fontId="83" fillId="24" borderId="41" xfId="0" applyNumberFormat="1" applyFont="1" applyFill="1" applyBorder="1" applyAlignment="1" applyProtection="1">
      <alignment horizontal="left" wrapText="1"/>
      <protection/>
    </xf>
    <xf numFmtId="0" fontId="82" fillId="30" borderId="106" xfId="0" applyNumberFormat="1" applyFont="1" applyFill="1" applyBorder="1" applyAlignment="1" applyProtection="1">
      <alignment horizontal="left" vertical="top"/>
      <protection/>
    </xf>
    <xf numFmtId="0" fontId="82" fillId="30" borderId="91" xfId="0" applyNumberFormat="1" applyFont="1" applyFill="1" applyBorder="1" applyAlignment="1" applyProtection="1">
      <alignment horizontal="left" vertical="top"/>
      <protection/>
    </xf>
    <xf numFmtId="0" fontId="82" fillId="30" borderId="13" xfId="0" applyNumberFormat="1" applyFont="1" applyFill="1" applyBorder="1" applyAlignment="1" applyProtection="1">
      <alignment horizontal="left" vertical="top"/>
      <protection/>
    </xf>
    <xf numFmtId="0" fontId="104" fillId="30" borderId="0" xfId="0" applyFont="1" applyFill="1" applyAlignment="1" applyProtection="1">
      <alignment horizontal="left" vertical="top" wrapText="1"/>
      <protection/>
    </xf>
    <xf numFmtId="0" fontId="81" fillId="24" borderId="0" xfId="0" applyFont="1" applyFill="1" applyAlignment="1" applyProtection="1">
      <alignment horizontal="left" vertical="center" wrapText="1"/>
      <protection/>
    </xf>
    <xf numFmtId="0" fontId="81" fillId="24" borderId="19" xfId="0" applyFont="1" applyFill="1" applyBorder="1" applyAlignment="1" applyProtection="1">
      <alignment horizontal="left" vertical="center" wrapText="1"/>
      <protection/>
    </xf>
    <xf numFmtId="0" fontId="83" fillId="30" borderId="64" xfId="0" applyFont="1" applyFill="1" applyBorder="1" applyAlignment="1" applyProtection="1">
      <alignment horizontal="center" vertical="center" wrapText="1"/>
      <protection/>
    </xf>
    <xf numFmtId="0" fontId="83" fillId="30" borderId="65" xfId="0" applyFont="1" applyFill="1" applyBorder="1" applyAlignment="1" applyProtection="1">
      <alignment horizontal="center" vertical="center" wrapText="1"/>
      <protection/>
    </xf>
    <xf numFmtId="0" fontId="83" fillId="30" borderId="66" xfId="0" applyFont="1" applyFill="1" applyBorder="1" applyAlignment="1" applyProtection="1">
      <alignment horizontal="center" vertical="center" wrapText="1"/>
      <protection/>
    </xf>
    <xf numFmtId="0" fontId="30" fillId="21" borderId="0" xfId="61" applyFont="1" applyFill="1" applyAlignment="1" applyProtection="1">
      <alignment vertical="top" wrapText="1"/>
      <protection/>
    </xf>
    <xf numFmtId="0" fontId="30" fillId="21" borderId="0" xfId="61" applyNumberFormat="1" applyFont="1" applyFill="1" applyBorder="1" applyAlignment="1" applyProtection="1">
      <alignment vertical="top" wrapText="1"/>
      <protection/>
    </xf>
    <xf numFmtId="0" fontId="28" fillId="24" borderId="10" xfId="0" applyFont="1" applyFill="1" applyBorder="1" applyAlignment="1" applyProtection="1">
      <alignment horizontal="left" vertical="top" wrapText="1"/>
      <protection/>
    </xf>
    <xf numFmtId="0" fontId="0" fillId="23" borderId="93" xfId="0" applyFont="1" applyFill="1" applyBorder="1" applyAlignment="1" applyProtection="1">
      <alignment horizontal="left" vertical="top"/>
      <protection locked="0"/>
    </xf>
    <xf numFmtId="0" fontId="0" fillId="23" borderId="14" xfId="0" applyFill="1" applyBorder="1" applyAlignment="1" applyProtection="1">
      <alignment horizontal="left" vertical="top"/>
      <protection locked="0"/>
    </xf>
    <xf numFmtId="0" fontId="0" fillId="23" borderId="107" xfId="0" applyFont="1" applyFill="1" applyBorder="1" applyAlignment="1" applyProtection="1">
      <alignment horizontal="left" vertical="top"/>
      <protection locked="0"/>
    </xf>
    <xf numFmtId="0" fontId="0" fillId="23" borderId="93" xfId="0" applyFill="1" applyBorder="1" applyAlignment="1" applyProtection="1">
      <alignment horizontal="left" vertical="top"/>
      <protection locked="0"/>
    </xf>
    <xf numFmtId="0" fontId="0" fillId="23" borderId="92" xfId="0" applyFont="1" applyFill="1" applyBorder="1" applyAlignment="1" applyProtection="1">
      <alignment horizontal="left" vertical="top"/>
      <protection locked="0"/>
    </xf>
    <xf numFmtId="0" fontId="0" fillId="23" borderId="15" xfId="0" applyFill="1" applyBorder="1" applyAlignment="1" applyProtection="1">
      <alignment horizontal="left" vertical="top"/>
      <protection locked="0"/>
    </xf>
    <xf numFmtId="0" fontId="0" fillId="23" borderId="108" xfId="0" applyFont="1" applyFill="1" applyBorder="1" applyAlignment="1" applyProtection="1">
      <alignment horizontal="left" vertical="top"/>
      <protection locked="0"/>
    </xf>
    <xf numFmtId="0" fontId="0" fillId="23" borderId="92" xfId="0" applyFill="1" applyBorder="1" applyAlignment="1" applyProtection="1">
      <alignment horizontal="left" vertical="top"/>
      <protection locked="0"/>
    </xf>
    <xf numFmtId="0" fontId="0" fillId="23" borderId="91" xfId="0" applyFont="1" applyFill="1" applyBorder="1" applyAlignment="1" applyProtection="1">
      <alignment horizontal="left" vertical="top"/>
      <protection locked="0"/>
    </xf>
    <xf numFmtId="0" fontId="0" fillId="23" borderId="13" xfId="0" applyFill="1" applyBorder="1" applyAlignment="1" applyProtection="1">
      <alignment horizontal="left" vertical="top"/>
      <protection locked="0"/>
    </xf>
    <xf numFmtId="0" fontId="0" fillId="23" borderId="106" xfId="0" applyFont="1" applyFill="1" applyBorder="1" applyAlignment="1" applyProtection="1">
      <alignment horizontal="left" vertical="top"/>
      <protection locked="0"/>
    </xf>
    <xf numFmtId="0" fontId="0" fillId="23" borderId="91" xfId="0" applyFill="1" applyBorder="1" applyAlignment="1" applyProtection="1">
      <alignment horizontal="left" vertical="top"/>
      <protection locked="0"/>
    </xf>
    <xf numFmtId="0" fontId="44" fillId="0" borderId="140" xfId="0" applyFont="1" applyBorder="1" applyAlignment="1" applyProtection="1">
      <alignment horizontal="center" vertical="top" wrapText="1"/>
      <protection/>
    </xf>
    <xf numFmtId="0" fontId="44" fillId="0" borderId="141" xfId="0" applyFont="1" applyBorder="1" applyAlignment="1" applyProtection="1">
      <alignment horizontal="center" vertical="top" wrapText="1"/>
      <protection/>
    </xf>
  </cellXfs>
  <cellStyles count="7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Ausgabe" xfId="45"/>
    <cellStyle name="Bad" xfId="46"/>
    <cellStyle name="Berechnung" xfId="47"/>
    <cellStyle name="Calculation" xfId="48"/>
    <cellStyle name="Check Cell" xfId="49"/>
    <cellStyle name="Eingabe" xfId="50"/>
    <cellStyle name="Ergebnis" xfId="51"/>
    <cellStyle name="Erklärender Text" xfId="52"/>
    <cellStyle name="Explanatory Text" xfId="53"/>
    <cellStyle name="Good" xfId="54"/>
    <cellStyle name="Gut" xfId="55"/>
    <cellStyle name="Heading 1" xfId="56"/>
    <cellStyle name="Heading 2" xfId="57"/>
    <cellStyle name="Heading 3" xfId="58"/>
    <cellStyle name="Heading 4" xfId="59"/>
    <cellStyle name="Input" xfId="60"/>
    <cellStyle name="Hyperlink" xfId="61"/>
    <cellStyle name="Followed Hyperlink" xfId="62"/>
    <cellStyle name="Linked Cell" xfId="63"/>
    <cellStyle name="Comma" xfId="64"/>
    <cellStyle name="Comma [0]" xfId="65"/>
    <cellStyle name="Currency" xfId="66"/>
    <cellStyle name="Currency [0]" xfId="67"/>
    <cellStyle name="Neutral" xfId="68"/>
    <cellStyle name="Note" xfId="69"/>
    <cellStyle name="Notiz" xfId="70"/>
    <cellStyle name="Output" xfId="71"/>
    <cellStyle name="Percent" xfId="72"/>
    <cellStyle name="Schlecht" xfId="73"/>
    <cellStyle name="Standard_Outline NIMs template 10-09-30" xfId="74"/>
    <cellStyle name="Title" xfId="75"/>
    <cellStyle name="Total" xfId="76"/>
    <cellStyle name="Überschrift" xfId="77"/>
    <cellStyle name="Überschrift 1" xfId="78"/>
    <cellStyle name="Überschrift 2" xfId="79"/>
    <cellStyle name="Überschrift 3" xfId="80"/>
    <cellStyle name="Überschrift 4" xfId="81"/>
    <cellStyle name="Verknüpfte Zelle" xfId="82"/>
    <cellStyle name="Warnender Text" xfId="83"/>
    <cellStyle name="Warning Text" xfId="84"/>
    <cellStyle name="Zelle überprüfen" xfId="85"/>
  </cellStyles>
  <dxfs count="4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10"/>
      </font>
    </dxf>
    <dxf>
      <font>
        <color indexed="10"/>
      </font>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0000"/>
        </patternFill>
      </fill>
    </dxf>
    <dxf>
      <fill>
        <patternFill>
          <bgColor rgb="FFFF0000"/>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indexed="10"/>
        </patternFill>
      </fill>
    </dxf>
    <dxf>
      <fill>
        <patternFill>
          <bgColor indexed="26"/>
        </patternFill>
      </fill>
    </dxf>
    <dxf>
      <fill>
        <patternFill>
          <bgColor indexed="26"/>
        </patternFill>
      </fill>
    </dxf>
    <dxf>
      <fill>
        <patternFill>
          <bgColor indexed="13"/>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JUMP_K_I"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ur-lex.europa.eu/en/index.htm" TargetMode="External" /><Relationship Id="rId4" Type="http://schemas.openxmlformats.org/officeDocument/2006/relationships/hyperlink" Target="http://ec.europa.eu/clima/policies/ets/index_en.htm" TargetMode="External" /><Relationship Id="rId5" Type="http://schemas.openxmlformats.org/officeDocument/2006/relationships/hyperlink" Target="JUMP_A_I3" TargetMode="External" /><Relationship Id="rId6" Type="http://schemas.openxmlformats.org/officeDocument/2006/relationships/hyperlink" Target="JUMP_A_II1" TargetMode="External" /><Relationship Id="rId7" Type="http://schemas.openxmlformats.org/officeDocument/2006/relationships/hyperlink" Target="http://ec.europa.eu/eurostat/ramon/nomenclatures/index.cfm?TargetUrl=LST_CLS_DLD&amp;StrNom=NACE_1_1&amp;StrLanguageCode=EN&amp;StrLayoutCode=HIERARCHIC" TargetMode="External" /><Relationship Id="rId8" Type="http://schemas.openxmlformats.org/officeDocument/2006/relationships/hyperlink" Target="http://ec.europa.eu/eurostat/ramon/nomenclatures/index.cfm?TargetUrl=LST_CLS_DLD&amp;StrNom=NACE_REV2&amp;StrLanguageCode=EN&amp;StrLayoutCode=HIERARCHIC" TargetMode="External" /><Relationship Id="rId9" Type="http://schemas.openxmlformats.org/officeDocument/2006/relationships/hyperlink" Target="JUMP_C_III" TargetMode="External" /><Relationship Id="rId10" Type="http://schemas.openxmlformats.org/officeDocument/2006/relationships/hyperlink" Target="JUMP_D_I" TargetMode="External" /><Relationship Id="rId11" Type="http://schemas.openxmlformats.org/officeDocument/2006/relationships/hyperlink" Target="JUMP_D_II" TargetMode="External" /><Relationship Id="rId12" Type="http://schemas.openxmlformats.org/officeDocument/2006/relationships/hyperlink" Target="JUMP_D_III" TargetMode="External" /><Relationship Id="rId13" Type="http://schemas.openxmlformats.org/officeDocument/2006/relationships/hyperlink" Target="JUMP_D_III2" TargetMode="External" /><Relationship Id="rId14" Type="http://schemas.openxmlformats.org/officeDocument/2006/relationships/hyperlink" Target="JUMP_E_I" TargetMode="External" /><Relationship Id="rId15" Type="http://schemas.openxmlformats.org/officeDocument/2006/relationships/hyperlink" Target="JUMP_E_II_3" TargetMode="External" /><Relationship Id="rId16" Type="http://schemas.openxmlformats.org/officeDocument/2006/relationships/hyperlink" Target="JUMP_E_III" TargetMode="External" /><Relationship Id="rId17" Type="http://schemas.openxmlformats.org/officeDocument/2006/relationships/hyperlink" Target="http://ec.europa.eu/eurostat/ramon/nomenclatures/index.cfm?TargetUrl=LST_CLS_DLD&amp;StrNom=PRD_2007&amp;StrLanguageCode=EN&amp;StrLayoutCode" TargetMode="External" /><Relationship Id="rId18" Type="http://schemas.openxmlformats.org/officeDocument/2006/relationships/hyperlink" Target="http://ec.europa.eu/eurostat/ramon/nomenclatures/index.cfm?TargetUrl=LST_CLS_DLD&amp;StrNom=PRD_2010&amp;StrLanguageCode=EN&amp;StrLayoutCode=HIERARCHIC" TargetMode="External" /><Relationship Id="rId19" Type="http://schemas.openxmlformats.org/officeDocument/2006/relationships/hyperlink" Target="JUMP_G1" TargetMode="External" /><Relationship Id="rId20" Type="http://schemas.openxmlformats.org/officeDocument/2006/relationships/hyperlink" Target="JUMP_G2" TargetMode="External" /><Relationship Id="rId21" Type="http://schemas.openxmlformats.org/officeDocument/2006/relationships/hyperlink" Target="JUMP_G3" TargetMode="External" /><Relationship Id="rId22" Type="http://schemas.openxmlformats.org/officeDocument/2006/relationships/hyperlink" Target="JUMP_G4" TargetMode="External" /><Relationship Id="rId23" Type="http://schemas.openxmlformats.org/officeDocument/2006/relationships/hyperlink" Target="JUMP_G5" TargetMode="External" /><Relationship Id="rId24" Type="http://schemas.openxmlformats.org/officeDocument/2006/relationships/hyperlink" Target="JUMP_G6" TargetMode="External" /><Relationship Id="rId25" Type="http://schemas.openxmlformats.org/officeDocument/2006/relationships/hyperlink" Target="JUMP_K_I" TargetMode="External" /><Relationship Id="rId26" Type="http://schemas.openxmlformats.org/officeDocument/2006/relationships/hyperlink" Target="JUMP_K_III" TargetMode="External" /><Relationship Id="rId27" Type="http://schemas.openxmlformats.org/officeDocument/2006/relationships/hyperlink" Target="JUMP_K_IV" TargetMode="External" /><Relationship Id="rId28" Type="http://schemas.openxmlformats.org/officeDocument/2006/relationships/hyperlink" Target="JUMP_K_V" TargetMode="External" /><Relationship Id="rId29" Type="http://schemas.openxmlformats.org/officeDocument/2006/relationships/hyperlink" Target="JUMP_K_V_Disclaimer" TargetMode="External" /><Relationship Id="rId30" Type="http://schemas.openxmlformats.org/officeDocument/2006/relationships/hyperlink" Target="http://eur-lex.europa.eu/LexUriServ/LexUriServ.do?uri=CONSLEG:2011D0278:20111117:FR:PDF" TargetMode="External" /><Relationship Id="rId31" Type="http://schemas.openxmlformats.org/officeDocument/2006/relationships/hyperlink" Target="http://ec.europa.eu/clima/policies/ets/benchmarking/documentation_en.htm" TargetMode="External" /><Relationship Id="rId32" Type="http://schemas.openxmlformats.org/officeDocument/2006/relationships/hyperlink" Target="http://www.developpement-durable.gouv.fr/-Systeme-d-echange-de-quotas-.html" TargetMode="External" /><Relationship Id="rId3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documentation/ets/docs/decision_benchmarking_15_dec_en.pdf." TargetMode="External" /><Relationship Id="rId4" Type="http://schemas.openxmlformats.org/officeDocument/2006/relationships/hyperlink" Target="http://ec.europa.eu/clima/documentation/ets/docs/decision_benchmarking_15_dec_en.pdf." TargetMode="External" /><Relationship Id="rId5" Type="http://schemas.openxmlformats.org/officeDocument/2006/relationships/hyperlink" Target="http://eur-lex.europa.eu/LexUriServ/LexUriServ.do?uri=CONSLEG:2003L0087:20090625:EN:PDF" TargetMode="External" /><Relationship Id="rId6" Type="http://schemas.openxmlformats.org/officeDocument/2006/relationships/hyperlink" Target="http://eur-lex.europa.eu/LexUriServ/LexUriServ.do?uri=CONSLEG:2011D0278:20111117:EN:PDF" TargetMode="External" /><Relationship Id="rId7" Type="http://schemas.openxmlformats.org/officeDocument/2006/relationships/hyperlink" Target="http://ec.europa.eu/clima/policies/ets/benchmarking/documentation_en.htm" TargetMode="External" /><Relationship Id="rId8" Type="http://schemas.openxmlformats.org/officeDocument/2006/relationships/hyperlink" Target="http://ec.europa.eu/clima/policies/ets/benchmarking/documentation_en.htm" TargetMode="Externa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c.europa.eu/eurostat/ramon/nomenclatures/index.cfm?TargetUrl=LST_CLS_DLD&amp;StrNom=NACE_REV2&amp;StrLanguageCode=EN&amp;StrLayoutCode=HIERARCHIC" TargetMode="External" /><Relationship Id="rId2" Type="http://schemas.openxmlformats.org/officeDocument/2006/relationships/hyperlink" Target="http://ec.europa.eu/eurostat/ramon/nomenclatures/index.cfm?TargetUrl=LST_CLS_DLD&amp;StrNom=NACE_1_1&amp;StrLanguageCode=EN&amp;StrLayoutCode=HIERARCHIC"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47"/>
  <sheetViews>
    <sheetView zoomScalePageLayoutView="0" workbookViewId="0" topLeftCell="A1">
      <pane ySplit="4" topLeftCell="A5" activePane="bottomLeft" state="frozen"/>
      <selection pane="topLeft" activeCell="F43" sqref="F43"/>
      <selection pane="bottomLeft" activeCell="C6" sqref="C6:M6"/>
    </sheetView>
  </sheetViews>
  <sheetFormatPr defaultColWidth="9.140625" defaultRowHeight="12.75"/>
  <cols>
    <col min="1" max="1" width="3.00390625" style="86" hidden="1" customWidth="1"/>
    <col min="2" max="4" width="4.7109375" style="86" customWidth="1"/>
    <col min="5" max="13" width="12.7109375" style="86" customWidth="1"/>
    <col min="14" max="15" width="9.140625" style="86" customWidth="1"/>
    <col min="16" max="25" width="9.140625" style="503" hidden="1" customWidth="1"/>
    <col min="26" max="16384" width="9.140625" style="86" customWidth="1"/>
  </cols>
  <sheetData>
    <row r="1" spans="1:25" s="4" customFormat="1" ht="13.5" hidden="1" thickBot="1">
      <c r="A1" s="319" t="s">
        <v>486</v>
      </c>
      <c r="P1" s="319" t="s">
        <v>486</v>
      </c>
      <c r="Q1" s="334" t="s">
        <v>486</v>
      </c>
      <c r="R1" s="334" t="s">
        <v>486</v>
      </c>
      <c r="S1" s="334" t="s">
        <v>486</v>
      </c>
      <c r="T1" s="334" t="s">
        <v>486</v>
      </c>
      <c r="U1" s="334" t="s">
        <v>486</v>
      </c>
      <c r="V1" s="334" t="s">
        <v>486</v>
      </c>
      <c r="W1" s="334" t="s">
        <v>486</v>
      </c>
      <c r="X1" s="334" t="s">
        <v>486</v>
      </c>
      <c r="Y1" s="334" t="s">
        <v>486</v>
      </c>
    </row>
    <row r="2" spans="2:25" ht="13.5" customHeight="1" thickBot="1">
      <c r="B2" s="699" t="s">
        <v>87</v>
      </c>
      <c r="C2" s="199" t="str">
        <f>Translations!$B$276</f>
        <v>Zone de navigation:</v>
      </c>
      <c r="D2" s="200"/>
      <c r="E2" s="200"/>
      <c r="F2" s="702"/>
      <c r="G2" s="702"/>
      <c r="H2" s="702"/>
      <c r="I2" s="702"/>
      <c r="J2" s="702" t="str">
        <f>HYPERLINK(V2,Translations!$B$277)</f>
        <v>Feuille suivante</v>
      </c>
      <c r="K2" s="702"/>
      <c r="L2" s="702" t="str">
        <f>HYPERLINK(X2,Translations!$B$278)</f>
        <v>Résumé</v>
      </c>
      <c r="M2" s="709"/>
      <c r="N2" s="9"/>
      <c r="O2" s="9"/>
      <c r="P2" s="441" t="s">
        <v>555</v>
      </c>
      <c r="Q2" s="441"/>
      <c r="R2" s="704"/>
      <c r="S2" s="705"/>
      <c r="T2" s="706"/>
      <c r="U2" s="705"/>
      <c r="V2" s="706" t="str">
        <f>"#"&amp;ADDRESS(ROW(D6),COLUMN(D6),,,'b_Guidelines &amp; conditions'!O3)</f>
        <v>#'b_Guidelines &amp; conditions'!$D$6</v>
      </c>
      <c r="W2" s="705"/>
      <c r="X2" s="706" t="str">
        <f>"#"&amp;ADDRESS(ROW(D6),COLUMN(D6),,,D_Summary!Q3)</f>
        <v>#D_Summary!$D$6</v>
      </c>
      <c r="Y2" s="707"/>
    </row>
    <row r="3" spans="2:13" ht="12.75">
      <c r="B3" s="700"/>
      <c r="C3" s="689"/>
      <c r="D3" s="690"/>
      <c r="E3" s="691"/>
      <c r="F3" s="710"/>
      <c r="G3" s="711"/>
      <c r="H3" s="711"/>
      <c r="I3" s="711"/>
      <c r="J3" s="711"/>
      <c r="K3" s="711"/>
      <c r="L3" s="711"/>
      <c r="M3" s="711"/>
    </row>
    <row r="4" spans="2:13" ht="13.5" thickBot="1">
      <c r="B4" s="701"/>
      <c r="C4" s="692"/>
      <c r="D4" s="693"/>
      <c r="E4" s="694"/>
      <c r="F4" s="703"/>
      <c r="G4" s="698"/>
      <c r="H4" s="698"/>
      <c r="I4" s="698"/>
      <c r="J4" s="698"/>
      <c r="K4" s="698"/>
      <c r="L4" s="698"/>
      <c r="M4" s="698"/>
    </row>
    <row r="5" spans="3:6" ht="12.75">
      <c r="C5" s="195"/>
      <c r="F5" s="195"/>
    </row>
    <row r="6" spans="3:13" ht="51" customHeight="1">
      <c r="C6" s="696" t="str">
        <f>Translations!$B$1505</f>
        <v>Formulaire de demande de fusion, scission et transfert de parties d’installations</v>
      </c>
      <c r="D6" s="697"/>
      <c r="E6" s="697"/>
      <c r="F6" s="697"/>
      <c r="G6" s="697"/>
      <c r="H6" s="697"/>
      <c r="I6" s="697"/>
      <c r="J6" s="697"/>
      <c r="K6" s="697"/>
      <c r="L6" s="697"/>
      <c r="M6" s="697"/>
    </row>
    <row r="7" spans="3:6" ht="12.75">
      <c r="C7" s="195"/>
      <c r="F7" s="195"/>
    </row>
    <row r="8" spans="2:13" ht="29.25" customHeight="1">
      <c r="B8" s="95"/>
      <c r="C8" s="196" t="str">
        <f>Translations!$B$281</f>
        <v>SOMMAIRE</v>
      </c>
      <c r="D8" s="95"/>
      <c r="E8" s="95"/>
      <c r="F8" s="196"/>
      <c r="G8" s="196"/>
      <c r="H8" s="196"/>
      <c r="I8" s="196"/>
      <c r="J8" s="196"/>
      <c r="K8" s="196"/>
      <c r="L8" s="196"/>
      <c r="M8" s="196"/>
    </row>
    <row r="9" spans="2:20" ht="12.75">
      <c r="B9" s="222"/>
      <c r="C9" s="2"/>
      <c r="D9" s="683" t="str">
        <f>HYPERLINK(T9,'b_Guidelines &amp; conditions'!C6)</f>
        <v>LIGNES DIRECTRICES ET CONDITIONS</v>
      </c>
      <c r="E9" s="708"/>
      <c r="F9" s="708"/>
      <c r="G9" s="708"/>
      <c r="H9" s="708"/>
      <c r="I9" s="708"/>
      <c r="J9" s="708"/>
      <c r="K9" s="708"/>
      <c r="L9" s="708"/>
      <c r="M9" s="23"/>
      <c r="R9" s="504" t="s">
        <v>556</v>
      </c>
      <c r="S9" s="506"/>
      <c r="T9" s="505" t="str">
        <f>"#"&amp;ADDRESS(ROW(JUMP_TOC_Home),COLUMN(JUMP_TOC_Home),,,'b_Guidelines &amp; conditions'!O3)</f>
        <v>#'b_Guidelines &amp; conditions'!$B$6</v>
      </c>
    </row>
    <row r="10" spans="2:13" ht="12.75">
      <c r="B10" s="193" t="s">
        <v>346</v>
      </c>
      <c r="C10" s="193"/>
      <c r="D10" s="681" t="str">
        <f>A_InstallationData!D6</f>
        <v>Feuille «InstallationData» - INFORMATIONS GÉNÉRALES RELATIVES À LA PRÉSENTE DEMANDE</v>
      </c>
      <c r="E10" s="681"/>
      <c r="F10" s="682"/>
      <c r="G10" s="682"/>
      <c r="H10" s="682"/>
      <c r="I10" s="682"/>
      <c r="J10" s="682"/>
      <c r="K10" s="682"/>
      <c r="L10" s="682"/>
      <c r="M10" s="23"/>
    </row>
    <row r="11" spans="2:20" ht="12.75">
      <c r="B11" s="223"/>
      <c r="C11" s="512" t="s">
        <v>42</v>
      </c>
      <c r="D11" s="683" t="str">
        <f>HYPERLINK(T11,Translations!$B$1503)</f>
        <v>Confirmation de l'admissibilité</v>
      </c>
      <c r="E11" s="684"/>
      <c r="F11" s="684"/>
      <c r="G11" s="684"/>
      <c r="H11" s="684"/>
      <c r="I11" s="684"/>
      <c r="J11" s="684"/>
      <c r="K11" s="684"/>
      <c r="L11" s="407"/>
      <c r="T11" s="505" t="str">
        <f>"#"&amp;ADDRESS(ROW(A_InstallationData!C8),COLUMN(A_InstallationData!C8),,,A_InstallationData!Q3)</f>
        <v>#A_InstallationData!$C$8</v>
      </c>
    </row>
    <row r="12" spans="2:20" ht="12.75">
      <c r="B12" s="223"/>
      <c r="C12" s="512" t="s">
        <v>73</v>
      </c>
      <c r="D12" s="683" t="str">
        <f>HYPERLINK(T12,Translations!$B$344)</f>
        <v>Identification de l'installation</v>
      </c>
      <c r="E12" s="684"/>
      <c r="F12" s="684"/>
      <c r="G12" s="684"/>
      <c r="H12" s="684"/>
      <c r="I12" s="684"/>
      <c r="J12" s="684"/>
      <c r="K12" s="684"/>
      <c r="L12" s="407"/>
      <c r="T12" s="505" t="str">
        <f>"#"&amp;ADDRESS(ROW(A_InstallationData!C42),COLUMN(A_InstallationData!C42),,,A_InstallationData!Q3)</f>
        <v>#A_InstallationData!$C$42</v>
      </c>
    </row>
    <row r="13" spans="2:20" ht="12.75">
      <c r="B13" s="223"/>
      <c r="C13" s="512" t="s">
        <v>128</v>
      </c>
      <c r="D13" s="683" t="str">
        <f>HYPERLINK(T13,Translations!$B$442)</f>
        <v>Liste des connexions techniques</v>
      </c>
      <c r="E13" s="684"/>
      <c r="F13" s="684"/>
      <c r="G13" s="684"/>
      <c r="H13" s="684"/>
      <c r="I13" s="684"/>
      <c r="J13" s="684"/>
      <c r="K13" s="684"/>
      <c r="L13" s="407"/>
      <c r="T13" s="505" t="str">
        <f>"#"&amp;ADDRESS(ROW(A_InstallationData!C147),COLUMN(A_InstallationData!C147),,,A_InstallationData!Q3)</f>
        <v>#A_InstallationData!$C$147</v>
      </c>
    </row>
    <row r="14" spans="2:20" ht="12.75">
      <c r="B14" s="223"/>
      <c r="C14" s="507" t="s">
        <v>215</v>
      </c>
      <c r="D14" s="683" t="str">
        <f>HYPERLINK(T14,Translations!$B$1504)</f>
        <v>Identification de toutes les installations concernées</v>
      </c>
      <c r="E14" s="684"/>
      <c r="F14" s="684"/>
      <c r="G14" s="684"/>
      <c r="H14" s="684"/>
      <c r="I14" s="684"/>
      <c r="J14" s="684"/>
      <c r="K14" s="684"/>
      <c r="L14" s="407"/>
      <c r="T14" s="505" t="str">
        <f>"#"&amp;ADDRESS(ROW(A_InstallationData!C199),COLUMN(A_InstallationData!C199),,,A_InstallationData!Q3)</f>
        <v>#A_InstallationData!$C$199</v>
      </c>
    </row>
    <row r="15" spans="2:13" ht="12.75" customHeight="1">
      <c r="B15" s="193" t="s">
        <v>347</v>
      </c>
      <c r="C15" s="508"/>
      <c r="D15" s="695" t="str">
        <f>B_InitialSituation!D6</f>
        <v>Feuille «Initial situation» («Situation initiale»)</v>
      </c>
      <c r="E15" s="695"/>
      <c r="F15" s="682"/>
      <c r="G15" s="682"/>
      <c r="H15" s="682"/>
      <c r="I15" s="682"/>
      <c r="J15" s="682"/>
      <c r="K15" s="682"/>
      <c r="L15" s="682"/>
      <c r="M15" s="23"/>
    </row>
    <row r="16" spans="2:20" ht="12.75">
      <c r="B16" s="223"/>
      <c r="C16" s="512" t="s">
        <v>42</v>
      </c>
      <c r="D16" s="683" t="str">
        <f>HYPERLINK(T16,B_InitialSituation!$D$8)</f>
        <v>Situation AVANT la fusion des installations</v>
      </c>
      <c r="E16" s="684"/>
      <c r="F16" s="684"/>
      <c r="G16" s="684"/>
      <c r="H16" s="684"/>
      <c r="I16" s="684"/>
      <c r="J16" s="684"/>
      <c r="K16" s="684"/>
      <c r="L16" s="407"/>
      <c r="T16" s="505" t="str">
        <f>"#"&amp;ADDRESS(ROW(B_InitialSituation!C8),COLUMN(B_InitialSituation!C8),,,B_InitialSituation!Q3)</f>
        <v>#B_InitialSituation!$C$8</v>
      </c>
    </row>
    <row r="17" spans="2:13" ht="12.75" customHeight="1">
      <c r="B17" s="193" t="s">
        <v>348</v>
      </c>
      <c r="C17" s="508"/>
      <c r="D17" s="695" t="str">
        <f>C_MergerSplitTransfer!D6</f>
        <v>Feuille «Merger, Split and Transfer» («Fusion, scission, transfert»)</v>
      </c>
      <c r="E17" s="695"/>
      <c r="F17" s="682"/>
      <c r="G17" s="682"/>
      <c r="H17" s="682"/>
      <c r="I17" s="682"/>
      <c r="J17" s="682"/>
      <c r="K17" s="682"/>
      <c r="L17" s="682"/>
      <c r="M17" s="23"/>
    </row>
    <row r="18" spans="2:20" ht="12.75">
      <c r="B18" s="223"/>
      <c r="C18" s="512" t="s">
        <v>42</v>
      </c>
      <c r="D18" s="683" t="str">
        <f>HYPERLINK(T18,C_MergerSplitTransfer!D8)</f>
        <v>Transfert de quotas, de capacité et de niveau d’activité</v>
      </c>
      <c r="E18" s="684"/>
      <c r="F18" s="684"/>
      <c r="G18" s="684"/>
      <c r="H18" s="684"/>
      <c r="I18" s="684"/>
      <c r="J18" s="684"/>
      <c r="K18" s="684"/>
      <c r="L18" s="407"/>
      <c r="T18" s="505" t="str">
        <f>"#"&amp;ADDRESS(ROW(C_MergerSplitTransfer!C8),COLUMN(C_MergerSplitTransfer!C8),,,C_MergerSplitTransfer!Q3)</f>
        <v>#C_MergerSplitTransfer!$C$8</v>
      </c>
    </row>
    <row r="19" spans="2:13" ht="12.75">
      <c r="B19" s="193" t="s">
        <v>349</v>
      </c>
      <c r="C19" s="508"/>
      <c r="D19" s="681" t="str">
        <f>D_Summary!D6</f>
        <v>Feuille «Summary» («Résumé»)</v>
      </c>
      <c r="E19" s="681"/>
      <c r="F19" s="682"/>
      <c r="G19" s="682"/>
      <c r="H19" s="682"/>
      <c r="I19" s="682"/>
      <c r="J19" s="682"/>
      <c r="K19" s="682"/>
      <c r="L19" s="682"/>
      <c r="M19" s="23"/>
    </row>
    <row r="20" spans="2:20" ht="12.75">
      <c r="B20" s="223"/>
      <c r="C20" s="512" t="s">
        <v>42</v>
      </c>
      <c r="D20" s="683" t="str">
        <f>HYPERLINK(T20,D_Summary!$D$8)</f>
        <v>Installations concernées par la fusion, la scission ou le transfert</v>
      </c>
      <c r="E20" s="684"/>
      <c r="F20" s="684"/>
      <c r="G20" s="684"/>
      <c r="H20" s="684"/>
      <c r="I20" s="684"/>
      <c r="J20" s="684"/>
      <c r="K20" s="684"/>
      <c r="L20" s="407"/>
      <c r="T20" s="505" t="str">
        <f>"#"&amp;ADDRESS(ROW(D_Summary!C7),COLUMN(D_Summary!C7),,,D_Summary!$Q$3)</f>
        <v>#D_Summary!$C$7</v>
      </c>
    </row>
    <row r="21" spans="2:20" ht="12.75">
      <c r="B21" s="223"/>
      <c r="C21" s="512" t="s">
        <v>73</v>
      </c>
      <c r="D21" s="683" t="str">
        <f>HYPERLINK(T21,D_Summary!$D$26)</f>
        <v>Données relatives à l'installation</v>
      </c>
      <c r="E21" s="684"/>
      <c r="F21" s="684"/>
      <c r="G21" s="684"/>
      <c r="H21" s="684"/>
      <c r="I21" s="684"/>
      <c r="J21" s="684"/>
      <c r="K21" s="684"/>
      <c r="L21" s="407"/>
      <c r="T21" s="505" t="str">
        <f>"#"&amp;ADDRESS(ROW(D_Summary!C26),COLUMN(D_Summary!C26),,,D_Summary!$Q$3)</f>
        <v>#D_Summary!$C$26</v>
      </c>
    </row>
    <row r="22" spans="2:20" ht="12.75">
      <c r="B22" s="223"/>
      <c r="C22" s="512" t="s">
        <v>128</v>
      </c>
      <c r="D22" s="683" t="str">
        <f>HYPERLINK(T22,D_Summary!$D$65)</f>
        <v>Nouvelle allocation</v>
      </c>
      <c r="E22" s="684"/>
      <c r="F22" s="684"/>
      <c r="G22" s="684"/>
      <c r="H22" s="684"/>
      <c r="I22" s="684"/>
      <c r="J22" s="684"/>
      <c r="K22" s="684"/>
      <c r="L22" s="407"/>
      <c r="T22" s="505" t="str">
        <f>"#"&amp;ADDRESS(ROW(D_Summary!C65),COLUMN(D_Summary!C65),,,D_Summary!$Q$3)</f>
        <v>#D_Summary!$C$65</v>
      </c>
    </row>
    <row r="23" spans="2:13" ht="12.75">
      <c r="B23" s="193" t="s">
        <v>350</v>
      </c>
      <c r="C23" s="508"/>
      <c r="D23" s="681" t="str">
        <f>I_MSspecific!C5</f>
        <v>Feuille «Msspecific - RENSEIGNEMENTS SUPPLÉMENTAIRES EXIGÉS PAR L'ÉTAT MEMBRE</v>
      </c>
      <c r="E23" s="681"/>
      <c r="F23" s="682"/>
      <c r="G23" s="682"/>
      <c r="H23" s="682"/>
      <c r="I23" s="682"/>
      <c r="J23" s="682"/>
      <c r="K23" s="682"/>
      <c r="L23" s="682"/>
      <c r="M23" s="23"/>
    </row>
    <row r="24" spans="2:12" ht="12.75">
      <c r="B24" s="223"/>
      <c r="C24" s="512" t="s">
        <v>42</v>
      </c>
      <c r="D24" s="683" t="str">
        <f>I_MSspecific!C7</f>
        <v>À définir par l'État membre</v>
      </c>
      <c r="E24" s="683"/>
      <c r="F24" s="683"/>
      <c r="G24" s="683"/>
      <c r="H24" s="683"/>
      <c r="I24" s="683"/>
      <c r="J24" s="683"/>
      <c r="K24" s="683"/>
      <c r="L24" s="407"/>
    </row>
    <row r="25" spans="2:13" ht="12.75">
      <c r="B25" s="193" t="s">
        <v>351</v>
      </c>
      <c r="C25" s="508"/>
      <c r="D25" s="681" t="str">
        <f>J_Comments!C5</f>
        <v>Feuille «Remarques - REMARQUES ET INFORMATIONS SUPPLÉMENTAIRES</v>
      </c>
      <c r="E25" s="681"/>
      <c r="F25" s="682"/>
      <c r="G25" s="682"/>
      <c r="H25" s="682"/>
      <c r="I25" s="682"/>
      <c r="J25" s="682"/>
      <c r="K25" s="682"/>
      <c r="L25" s="682"/>
      <c r="M25" s="23"/>
    </row>
    <row r="26" spans="2:12" ht="12.75">
      <c r="B26" s="223"/>
      <c r="C26" s="512" t="s">
        <v>42</v>
      </c>
      <c r="D26" s="683" t="str">
        <f>J_Comments!C7</f>
        <v>Documents étayant cette déclaration</v>
      </c>
      <c r="E26" s="683"/>
      <c r="F26" s="683"/>
      <c r="G26" s="683"/>
      <c r="H26" s="683"/>
      <c r="I26" s="683"/>
      <c r="J26" s="683"/>
      <c r="K26" s="683"/>
      <c r="L26" s="407"/>
    </row>
    <row r="27" spans="2:12" ht="12.75">
      <c r="B27" s="223"/>
      <c r="C27" s="512" t="s">
        <v>73</v>
      </c>
      <c r="D27" s="683" t="str">
        <f>J_Comments!C28</f>
        <v>Informations complémentaires de tout ordre</v>
      </c>
      <c r="E27" s="683"/>
      <c r="F27" s="683"/>
      <c r="G27" s="683"/>
      <c r="H27" s="683"/>
      <c r="I27" s="683"/>
      <c r="J27" s="683"/>
      <c r="K27" s="683"/>
      <c r="L27" s="407"/>
    </row>
    <row r="28" spans="2:12" ht="12.75">
      <c r="B28" s="223"/>
      <c r="C28" s="509"/>
      <c r="D28" s="1"/>
      <c r="E28" s="1"/>
      <c r="F28" s="1"/>
      <c r="G28" s="1"/>
      <c r="H28" s="1"/>
      <c r="I28" s="1"/>
      <c r="J28" s="1"/>
      <c r="K28" s="1"/>
      <c r="L28" s="202"/>
    </row>
    <row r="29" spans="2:12" ht="12.75">
      <c r="B29" s="223"/>
      <c r="C29" s="224"/>
      <c r="D29" s="1"/>
      <c r="E29" s="1"/>
      <c r="F29" s="1"/>
      <c r="G29" s="1"/>
      <c r="H29" s="1"/>
      <c r="I29" s="1"/>
      <c r="J29" s="1"/>
      <c r="K29" s="1"/>
      <c r="L29" s="202"/>
    </row>
    <row r="30" spans="2:13" ht="12.75">
      <c r="B30" s="223"/>
      <c r="C30" s="223"/>
      <c r="D30" s="223"/>
      <c r="E30" s="223"/>
      <c r="F30" s="202"/>
      <c r="G30" s="202"/>
      <c r="H30" s="202"/>
      <c r="I30" s="202"/>
      <c r="J30" s="202"/>
      <c r="K30" s="202"/>
      <c r="L30" s="202"/>
      <c r="M30" s="23"/>
    </row>
    <row r="31" spans="2:13" ht="13.5" thickBot="1">
      <c r="B31" s="223"/>
      <c r="C31" s="223"/>
      <c r="D31" s="223"/>
      <c r="E31" s="223"/>
      <c r="F31" s="202"/>
      <c r="G31" s="202"/>
      <c r="H31" s="202"/>
      <c r="I31" s="202"/>
      <c r="J31" s="202"/>
      <c r="K31" s="202"/>
      <c r="L31" s="202"/>
      <c r="M31" s="23"/>
    </row>
    <row r="32" spans="2:12" ht="12.75">
      <c r="B32" s="95"/>
      <c r="C32" s="95"/>
      <c r="D32" s="225" t="str">
        <f>Translations!$B$282</f>
        <v>Version linguistique:</v>
      </c>
      <c r="E32" s="226"/>
      <c r="F32" s="226"/>
      <c r="G32" s="227"/>
      <c r="H32" s="228" t="str">
        <f>VersionDocumentation!B5</f>
        <v>French</v>
      </c>
      <c r="I32" s="228"/>
      <c r="J32" s="228"/>
      <c r="K32" s="229"/>
      <c r="L32" s="95"/>
    </row>
    <row r="33" spans="2:12" ht="13.5" thickBot="1">
      <c r="B33" s="95"/>
      <c r="C33" s="95"/>
      <c r="D33" s="230" t="str">
        <f>Translations!$B$283</f>
        <v>Nom du fichier de référence:</v>
      </c>
      <c r="E33" s="231"/>
      <c r="F33" s="231"/>
      <c r="G33" s="232"/>
      <c r="H33" s="233" t="str">
        <f>VersionDocumentation!C3</f>
        <v>NE&amp;C MergerSplit_2015-11-22_COM_fr.XLS</v>
      </c>
      <c r="I33" s="233"/>
      <c r="J33" s="233"/>
      <c r="K33" s="234"/>
      <c r="L33" s="95"/>
    </row>
    <row r="34" spans="2:12" ht="12.75">
      <c r="B34" s="95"/>
      <c r="C34" s="95"/>
      <c r="D34" s="95"/>
      <c r="E34" s="95"/>
      <c r="F34" s="95"/>
      <c r="G34" s="95"/>
      <c r="H34" s="95"/>
      <c r="I34" s="95"/>
      <c r="J34" s="95"/>
      <c r="K34" s="95"/>
      <c r="L34" s="95"/>
    </row>
    <row r="35" spans="2:12" ht="12.75">
      <c r="B35" s="95"/>
      <c r="C35" s="95"/>
      <c r="D35" s="95"/>
      <c r="E35" s="95"/>
      <c r="F35" s="95"/>
      <c r="G35" s="95"/>
      <c r="H35" s="95"/>
      <c r="I35" s="95"/>
      <c r="J35" s="95"/>
      <c r="K35" s="95"/>
      <c r="L35" s="95"/>
    </row>
    <row r="36" spans="2:12" ht="13.5" thickBot="1">
      <c r="B36" s="95"/>
      <c r="C36" s="95"/>
      <c r="D36" s="213" t="str">
        <f>Translations!$B$284</f>
        <v>Informations concernant le présent fichier:</v>
      </c>
      <c r="E36" s="213"/>
      <c r="F36" s="213"/>
      <c r="G36" s="95"/>
      <c r="H36" s="95"/>
      <c r="I36" s="95"/>
      <c r="J36" s="95"/>
      <c r="K36" s="95"/>
      <c r="L36" s="95"/>
    </row>
    <row r="37" spans="2:12" ht="12.75">
      <c r="B37" s="95"/>
      <c r="C37" s="95"/>
      <c r="D37" s="225" t="str">
        <f>Translations!$B$285</f>
        <v>Dénomination de l'installation:</v>
      </c>
      <c r="E37" s="226"/>
      <c r="F37" s="226"/>
      <c r="G37" s="227"/>
      <c r="H37" s="228">
        <f>IF(ISBLANK(A_InstallationData!J48),"",A_InstallationData!J48)</f>
      </c>
      <c r="I37" s="228"/>
      <c r="J37" s="228"/>
      <c r="K37" s="229"/>
      <c r="L37" s="95"/>
    </row>
    <row r="38" spans="2:12" ht="13.5" thickBot="1">
      <c r="B38" s="95"/>
      <c r="C38" s="95"/>
      <c r="D38" s="230" t="str">
        <f>Translations!$B$286</f>
        <v>Identificateur unique de l'installation:</v>
      </c>
      <c r="E38" s="231"/>
      <c r="F38" s="231"/>
      <c r="G38" s="232"/>
      <c r="H38" s="233">
        <f>IF(CNTR_UniqueID="","",CNTR_UniqueID)</f>
      </c>
      <c r="I38" s="233"/>
      <c r="J38" s="233"/>
      <c r="K38" s="234"/>
      <c r="L38" s="95"/>
    </row>
    <row r="39" spans="2:12" ht="12.75">
      <c r="B39" s="95"/>
      <c r="C39" s="95"/>
      <c r="D39" s="95"/>
      <c r="E39" s="95"/>
      <c r="F39" s="95"/>
      <c r="G39" s="95"/>
      <c r="H39" s="95"/>
      <c r="I39" s="95"/>
      <c r="J39" s="95"/>
      <c r="K39" s="95"/>
      <c r="L39" s="95"/>
    </row>
    <row r="40" spans="2:12" ht="32.25" customHeight="1">
      <c r="B40" s="95"/>
      <c r="C40" s="95"/>
      <c r="D40" s="687" t="str">
        <f>Translations!$B$287</f>
        <v>Si votre autorité compétente exige que vous remettiez un exemplaire papier signé de la déclaration, veuillez signer dans l'espace ci-dessous:</v>
      </c>
      <c r="E40" s="687"/>
      <c r="F40" s="687"/>
      <c r="G40" s="688"/>
      <c r="H40" s="688"/>
      <c r="I40" s="688"/>
      <c r="J40" s="688"/>
      <c r="K40" s="688"/>
      <c r="L40" s="95"/>
    </row>
    <row r="41" spans="2:12" ht="12.75">
      <c r="B41" s="95"/>
      <c r="C41" s="95"/>
      <c r="D41" s="95"/>
      <c r="E41" s="95"/>
      <c r="F41" s="95"/>
      <c r="G41" s="198"/>
      <c r="H41" s="95"/>
      <c r="I41" s="95"/>
      <c r="J41" s="95"/>
      <c r="K41" s="95"/>
      <c r="L41" s="95"/>
    </row>
    <row r="42" spans="2:12" ht="12.75">
      <c r="B42" s="95"/>
      <c r="C42" s="95"/>
      <c r="D42" s="95"/>
      <c r="E42" s="95"/>
      <c r="F42" s="95"/>
      <c r="G42" s="95"/>
      <c r="H42" s="95"/>
      <c r="I42" s="95"/>
      <c r="J42" s="95"/>
      <c r="K42" s="95"/>
      <c r="L42" s="95"/>
    </row>
    <row r="43" spans="2:12" ht="12.75">
      <c r="B43" s="95"/>
      <c r="C43" s="95"/>
      <c r="D43" s="95"/>
      <c r="E43" s="95"/>
      <c r="F43" s="95"/>
      <c r="G43" s="95"/>
      <c r="H43" s="95"/>
      <c r="I43" s="95"/>
      <c r="J43" s="95"/>
      <c r="K43" s="95"/>
      <c r="L43" s="95"/>
    </row>
    <row r="44" spans="2:12" ht="12.75">
      <c r="B44" s="95"/>
      <c r="C44" s="95"/>
      <c r="D44" s="95"/>
      <c r="E44" s="95"/>
      <c r="F44" s="95"/>
      <c r="G44" s="95"/>
      <c r="H44" s="95"/>
      <c r="I44" s="95"/>
      <c r="J44" s="95"/>
      <c r="K44" s="95"/>
      <c r="L44" s="95"/>
    </row>
    <row r="45" spans="2:12" ht="12.75">
      <c r="B45" s="95"/>
      <c r="C45" s="95"/>
      <c r="D45" s="235"/>
      <c r="E45" s="235"/>
      <c r="F45" s="235"/>
      <c r="G45" s="95"/>
      <c r="H45" s="235"/>
      <c r="I45" s="95"/>
      <c r="J45" s="95"/>
      <c r="K45" s="95"/>
      <c r="L45" s="95"/>
    </row>
    <row r="46" spans="2:12" ht="25.5" customHeight="1">
      <c r="B46" s="95"/>
      <c r="C46" s="95"/>
      <c r="D46" s="685" t="str">
        <f>Translations!$B$288</f>
        <v>Date</v>
      </c>
      <c r="E46" s="685"/>
      <c r="F46" s="685"/>
      <c r="G46" s="198"/>
      <c r="H46" s="685" t="str">
        <f>Translations!$B$289</f>
        <v>Nom et signature du  
responsable légal</v>
      </c>
      <c r="I46" s="686"/>
      <c r="J46" s="686"/>
      <c r="K46" s="686"/>
      <c r="L46" s="95"/>
    </row>
    <row r="47" spans="9:12" ht="12.75">
      <c r="I47" s="194"/>
      <c r="J47" s="194"/>
      <c r="K47" s="194"/>
      <c r="L47" s="194"/>
    </row>
  </sheetData>
  <sheetProtection sheet="1" objects="1" scenarios="1" formatCells="0" formatColumns="0" formatRows="0"/>
  <mergeCells count="42">
    <mergeCell ref="R2:S2"/>
    <mergeCell ref="T2:U2"/>
    <mergeCell ref="V2:W2"/>
    <mergeCell ref="X2:Y2"/>
    <mergeCell ref="D9:L9"/>
    <mergeCell ref="L2:M2"/>
    <mergeCell ref="F3:G3"/>
    <mergeCell ref="H3:I3"/>
    <mergeCell ref="J3:K3"/>
    <mergeCell ref="L3:M3"/>
    <mergeCell ref="C6:M6"/>
    <mergeCell ref="L4:M4"/>
    <mergeCell ref="D18:K18"/>
    <mergeCell ref="B2:B4"/>
    <mergeCell ref="F2:G2"/>
    <mergeCell ref="H2:I2"/>
    <mergeCell ref="J2:K2"/>
    <mergeCell ref="F4:G4"/>
    <mergeCell ref="H4:I4"/>
    <mergeCell ref="J4:K4"/>
    <mergeCell ref="C3:E3"/>
    <mergeCell ref="C4:E4"/>
    <mergeCell ref="D16:K16"/>
    <mergeCell ref="D17:L17"/>
    <mergeCell ref="D15:L15"/>
    <mergeCell ref="D10:L10"/>
    <mergeCell ref="D11:K11"/>
    <mergeCell ref="D12:K12"/>
    <mergeCell ref="D13:K13"/>
    <mergeCell ref="D14:K14"/>
    <mergeCell ref="H46:K46"/>
    <mergeCell ref="D46:F46"/>
    <mergeCell ref="D23:L23"/>
    <mergeCell ref="D27:K27"/>
    <mergeCell ref="D26:K26"/>
    <mergeCell ref="D40:K40"/>
    <mergeCell ref="D19:L19"/>
    <mergeCell ref="D22:K22"/>
    <mergeCell ref="D20:K20"/>
    <mergeCell ref="D24:K24"/>
    <mergeCell ref="D25:L25"/>
    <mergeCell ref="D21:K21"/>
  </mergeCells>
  <hyperlinks>
    <hyperlink ref="D24:K24" location="JUMP_I_Top" display="JUMP_I_Top"/>
    <hyperlink ref="D26:K26" location="JUMP_J_Top" display="JUMP_J_Top"/>
    <hyperlink ref="D27:K27" location="JUMP_J_II" display="JUMP_J_II"/>
  </hyperlinks>
  <printOptions/>
  <pageMargins left="0.7874015748031497" right="0.7874015748031497" top="0.7874015748031497" bottom="0.7874015748031497" header="0.3937007874015748" footer="0.3937007874015748"/>
  <pageSetup fitToHeight="1" fitToWidth="1" horizontalDpi="600" verticalDpi="600" orientation="portrait" paperSize="9" scale="74"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2"/>
    <pageSetUpPr fitToPage="1"/>
  </sheetPr>
  <dimension ref="A1:G73"/>
  <sheetViews>
    <sheetView zoomScalePageLayoutView="0" workbookViewId="0" topLeftCell="A1">
      <selection activeCell="A1" sqref="A1:IV16384"/>
    </sheetView>
  </sheetViews>
  <sheetFormatPr defaultColWidth="9.140625" defaultRowHeight="12.75"/>
  <cols>
    <col min="1" max="1" width="50.8515625" style="82" customWidth="1"/>
    <col min="2" max="16384" width="9.140625" style="82" customWidth="1"/>
  </cols>
  <sheetData>
    <row r="1" spans="1:7" ht="12.75">
      <c r="A1" s="114" t="s">
        <v>66</v>
      </c>
      <c r="B1" s="114" t="s">
        <v>69</v>
      </c>
      <c r="C1" s="114" t="s">
        <v>70</v>
      </c>
      <c r="D1" s="115"/>
      <c r="E1" s="115" t="s">
        <v>97</v>
      </c>
      <c r="F1" s="115"/>
      <c r="G1" s="115"/>
    </row>
    <row r="2" spans="1:5" ht="12.75">
      <c r="A2" s="82" t="s">
        <v>141</v>
      </c>
      <c r="B2" s="93" t="b">
        <v>1</v>
      </c>
      <c r="E2" s="206" t="b">
        <v>1</v>
      </c>
    </row>
    <row r="3" spans="1:5" ht="12.75">
      <c r="A3" s="82" t="s">
        <v>151</v>
      </c>
      <c r="B3" s="93" t="b">
        <v>1</v>
      </c>
      <c r="E3" s="206" t="b">
        <v>1</v>
      </c>
    </row>
    <row r="4" spans="1:5" ht="12.75">
      <c r="A4" s="82" t="s">
        <v>473</v>
      </c>
      <c r="B4" s="93" t="b">
        <v>1</v>
      </c>
      <c r="E4" s="206" t="b">
        <v>1</v>
      </c>
    </row>
    <row r="5" spans="1:5" ht="12.75">
      <c r="A5" s="82" t="s">
        <v>475</v>
      </c>
      <c r="B5" s="93" t="b">
        <v>1</v>
      </c>
      <c r="E5" s="206" t="b">
        <v>1</v>
      </c>
    </row>
    <row r="10" s="118" customFormat="1" ht="12.75">
      <c r="A10" s="118" t="s">
        <v>529</v>
      </c>
    </row>
    <row r="11" ht="12.75">
      <c r="A11" s="110" t="s">
        <v>531</v>
      </c>
    </row>
    <row r="12" ht="12.75">
      <c r="A12" s="133" t="s">
        <v>532</v>
      </c>
    </row>
    <row r="13" ht="12.75">
      <c r="A13" s="133" t="s">
        <v>533</v>
      </c>
    </row>
    <row r="14" ht="12.75">
      <c r="A14" s="133" t="s">
        <v>248</v>
      </c>
    </row>
    <row r="15" ht="13.5" thickBot="1">
      <c r="A15" s="133" t="s">
        <v>249</v>
      </c>
    </row>
    <row r="16" spans="1:3" ht="36.75" thickTop="1">
      <c r="A16" s="134" t="s">
        <v>216</v>
      </c>
      <c r="B16" s="135" t="s">
        <v>217</v>
      </c>
      <c r="C16" s="135" t="s">
        <v>219</v>
      </c>
    </row>
    <row r="17" spans="1:3" ht="14.25" thickBot="1">
      <c r="A17" s="136"/>
      <c r="B17" s="137" t="s">
        <v>218</v>
      </c>
      <c r="C17" s="137" t="s">
        <v>220</v>
      </c>
    </row>
    <row r="18" spans="1:3" ht="36">
      <c r="A18" s="138"/>
      <c r="B18" s="139" t="s">
        <v>524</v>
      </c>
      <c r="C18" s="1086" t="s">
        <v>524</v>
      </c>
    </row>
    <row r="19" spans="1:3" ht="24.75" thickBot="1">
      <c r="A19" s="140"/>
      <c r="B19" s="141" t="s">
        <v>525</v>
      </c>
      <c r="C19" s="1087"/>
    </row>
    <row r="20" spans="1:3" ht="14.25" thickBot="1" thickTop="1">
      <c r="A20" s="142" t="str">
        <f>Translations!B224</f>
        <v>Pétrole brut</v>
      </c>
      <c r="B20" s="143">
        <v>73.3</v>
      </c>
      <c r="C20" s="144">
        <v>42.3</v>
      </c>
    </row>
    <row r="21" spans="1:3" ht="13.5" thickBot="1">
      <c r="A21" s="145" t="str">
        <f>Translations!B225</f>
        <v>Orimulsion</v>
      </c>
      <c r="B21" s="146">
        <v>76.9</v>
      </c>
      <c r="C21" s="147">
        <v>27.5</v>
      </c>
    </row>
    <row r="22" spans="1:3" ht="13.5" thickBot="1">
      <c r="A22" s="145" t="str">
        <f>Translations!B226</f>
        <v>Gaz naturel</v>
      </c>
      <c r="B22" s="146">
        <v>64.1</v>
      </c>
      <c r="C22" s="147">
        <v>44.2</v>
      </c>
    </row>
    <row r="23" spans="1:3" ht="13.5" thickBot="1">
      <c r="A23" s="145" t="str">
        <f>Translations!B227</f>
        <v>Essence automobile </v>
      </c>
      <c r="B23" s="146">
        <v>69.2</v>
      </c>
      <c r="C23" s="147">
        <v>44.3</v>
      </c>
    </row>
    <row r="24" spans="1:3" ht="13.5" thickBot="1">
      <c r="A24" s="145" t="str">
        <f>Translations!B228</f>
        <v>Kérosène</v>
      </c>
      <c r="B24" s="146">
        <v>71.8</v>
      </c>
      <c r="C24" s="147">
        <v>43.8</v>
      </c>
    </row>
    <row r="25" spans="1:3" ht="13.5" thickBot="1">
      <c r="A25" s="145" t="str">
        <f>Translations!B229</f>
        <v>Essence aviation (AvGas)</v>
      </c>
      <c r="B25" s="146">
        <v>70</v>
      </c>
      <c r="C25" s="147">
        <v>44.3</v>
      </c>
    </row>
    <row r="26" spans="1:3" ht="13.5" thickBot="1">
      <c r="A26" s="145" t="str">
        <f>Translations!B230</f>
        <v>Carburéacteur large coupe (jet B)</v>
      </c>
      <c r="B26" s="146">
        <v>70</v>
      </c>
      <c r="C26" s="147">
        <v>44.3</v>
      </c>
    </row>
    <row r="27" spans="1:3" ht="13.5" thickBot="1">
      <c r="A27" s="145" t="str">
        <f>Translations!B231</f>
        <v>Kérosène (jet A1 ou jet A)</v>
      </c>
      <c r="B27" s="146">
        <v>71.5</v>
      </c>
      <c r="C27" s="147">
        <v>44.1</v>
      </c>
    </row>
    <row r="28" spans="1:3" ht="13.5" thickBot="1">
      <c r="A28" s="145" t="str">
        <f>Translations!B232</f>
        <v>Huile de schiste</v>
      </c>
      <c r="B28" s="146">
        <v>73.3</v>
      </c>
      <c r="C28" s="147">
        <v>38.1</v>
      </c>
    </row>
    <row r="29" spans="1:3" ht="13.5" thickBot="1">
      <c r="A29" s="145" t="str">
        <f>Translations!B233</f>
        <v>Gazole/carburant diesel</v>
      </c>
      <c r="B29" s="146">
        <v>74</v>
      </c>
      <c r="C29" s="147">
        <v>43</v>
      </c>
    </row>
    <row r="30" spans="1:3" ht="13.5" thickBot="1">
      <c r="A30" s="145" t="str">
        <f>Translations!B234</f>
        <v>Mazout résiduel</v>
      </c>
      <c r="B30" s="146">
        <v>77.3</v>
      </c>
      <c r="C30" s="147">
        <v>40.4</v>
      </c>
    </row>
    <row r="31" spans="1:3" ht="13.5" thickBot="1">
      <c r="A31" s="145" t="str">
        <f>Translations!B235</f>
        <v>Gaz de pétrole liquéfié</v>
      </c>
      <c r="B31" s="146">
        <v>63</v>
      </c>
      <c r="C31" s="147">
        <v>47.3</v>
      </c>
    </row>
    <row r="32" spans="1:3" ht="13.5" thickBot="1">
      <c r="A32" s="145" t="str">
        <f>Translations!B236</f>
        <v>Éthane</v>
      </c>
      <c r="B32" s="146">
        <v>61.6</v>
      </c>
      <c r="C32" s="147" t="s">
        <v>526</v>
      </c>
    </row>
    <row r="33" spans="1:3" ht="13.5" thickBot="1">
      <c r="A33" s="145" t="str">
        <f>Translations!B237</f>
        <v>Naphta</v>
      </c>
      <c r="B33" s="146">
        <v>73.3</v>
      </c>
      <c r="C33" s="147">
        <v>44.5</v>
      </c>
    </row>
    <row r="34" spans="1:3" ht="13.5" thickBot="1">
      <c r="A34" s="145" t="str">
        <f>Translations!B238</f>
        <v>Bitume</v>
      </c>
      <c r="B34" s="146">
        <v>80.6</v>
      </c>
      <c r="C34" s="147">
        <v>40.2</v>
      </c>
    </row>
    <row r="35" spans="1:3" ht="13.5" thickBot="1">
      <c r="A35" s="145" t="str">
        <f>Translations!B239</f>
        <v>Lubrifiants</v>
      </c>
      <c r="B35" s="146">
        <v>73.3</v>
      </c>
      <c r="C35" s="147">
        <v>40.2</v>
      </c>
    </row>
    <row r="36" spans="1:3" ht="13.5" thickBot="1">
      <c r="A36" s="145" t="str">
        <f>Translations!B240</f>
        <v>Coke de pétrole</v>
      </c>
      <c r="B36" s="146">
        <v>97.5</v>
      </c>
      <c r="C36" s="147">
        <v>32.5</v>
      </c>
    </row>
    <row r="37" spans="1:3" ht="13.5" thickBot="1">
      <c r="A37" s="145" t="str">
        <f>Translations!B241</f>
        <v>Charges de raffinage du pétrole</v>
      </c>
      <c r="B37" s="146">
        <v>73.3</v>
      </c>
      <c r="C37" s="147">
        <v>43</v>
      </c>
    </row>
    <row r="38" spans="1:3" ht="13.5" thickBot="1">
      <c r="A38" s="145" t="str">
        <f>Translations!B242</f>
        <v>Gaz de raffinerie</v>
      </c>
      <c r="B38" s="146">
        <v>51.3</v>
      </c>
      <c r="C38" s="147">
        <v>49.5</v>
      </c>
    </row>
    <row r="39" spans="1:3" ht="13.5" thickBot="1">
      <c r="A39" s="145" t="str">
        <f>Translations!B243</f>
        <v>Paraffines</v>
      </c>
      <c r="B39" s="146">
        <v>73.3</v>
      </c>
      <c r="C39" s="147">
        <v>40.2</v>
      </c>
    </row>
    <row r="40" spans="1:3" ht="13.5" thickBot="1">
      <c r="A40" s="145" t="str">
        <f>Translations!B244</f>
        <v>White spirit et essences spéciales</v>
      </c>
      <c r="B40" s="146">
        <v>73.3</v>
      </c>
      <c r="C40" s="147">
        <v>40.2</v>
      </c>
    </row>
    <row r="41" spans="1:3" ht="13.5" thickBot="1">
      <c r="A41" s="145" t="str">
        <f>Translations!B245</f>
        <v>Autres produits pétroliers</v>
      </c>
      <c r="B41" s="146">
        <v>73.3</v>
      </c>
      <c r="C41" s="147">
        <v>40.2</v>
      </c>
    </row>
    <row r="42" spans="1:3" ht="13.5" thickBot="1">
      <c r="A42" s="145" t="str">
        <f>Translations!B246</f>
        <v>Anthracite</v>
      </c>
      <c r="B42" s="146">
        <v>98.2</v>
      </c>
      <c r="C42" s="147">
        <v>26.7</v>
      </c>
    </row>
    <row r="43" spans="1:3" ht="13.5" thickBot="1">
      <c r="A43" s="145" t="str">
        <f>Translations!B247</f>
        <v>Charbon cokéfiable</v>
      </c>
      <c r="B43" s="146">
        <v>94.5</v>
      </c>
      <c r="C43" s="147">
        <v>28.2</v>
      </c>
    </row>
    <row r="44" spans="1:3" ht="13.5" thickBot="1">
      <c r="A44" s="145" t="str">
        <f>Translations!B248</f>
        <v>Autres charbons bitumineux</v>
      </c>
      <c r="B44" s="146">
        <v>94.5</v>
      </c>
      <c r="C44" s="147">
        <v>25.8</v>
      </c>
    </row>
    <row r="45" spans="1:3" ht="13.5" thickBot="1">
      <c r="A45" s="145" t="str">
        <f>Translations!B249</f>
        <v>Charbon subbitumineux</v>
      </c>
      <c r="B45" s="146">
        <v>96</v>
      </c>
      <c r="C45" s="147">
        <v>18.9</v>
      </c>
    </row>
    <row r="46" spans="1:3" ht="13.5" thickBot="1">
      <c r="A46" s="148" t="str">
        <f>Translations!B250</f>
        <v>Lignite</v>
      </c>
      <c r="B46" s="146">
        <v>101.1</v>
      </c>
      <c r="C46" s="147">
        <v>11.9</v>
      </c>
    </row>
    <row r="47" spans="1:3" ht="13.5" thickBot="1">
      <c r="A47" s="145" t="str">
        <f>Translations!B251</f>
        <v>Schistes bitumineux et sables asphaltiques</v>
      </c>
      <c r="B47" s="146">
        <v>106.6</v>
      </c>
      <c r="C47" s="147">
        <v>8.9</v>
      </c>
    </row>
    <row r="48" spans="1:3" ht="13.5" thickBot="1">
      <c r="A48" s="145" t="str">
        <f>Translations!B252</f>
        <v>Agglomérés</v>
      </c>
      <c r="B48" s="146">
        <v>97.5</v>
      </c>
      <c r="C48" s="147">
        <v>20.7</v>
      </c>
    </row>
    <row r="49" spans="1:3" ht="13.5" thickBot="1">
      <c r="A49" s="145" t="str">
        <f>Translations!B253</f>
        <v>Coke de four et coke de lignite</v>
      </c>
      <c r="B49" s="146">
        <v>107</v>
      </c>
      <c r="C49" s="147">
        <v>28.2</v>
      </c>
    </row>
    <row r="50" spans="1:3" ht="13.5" thickBot="1">
      <c r="A50" s="145" t="str">
        <f>Translations!B254</f>
        <v>Coke de gaz</v>
      </c>
      <c r="B50" s="146">
        <v>107</v>
      </c>
      <c r="C50" s="147">
        <v>28.2</v>
      </c>
    </row>
    <row r="51" spans="1:3" ht="13.5" thickBot="1">
      <c r="A51" s="145" t="str">
        <f>Translations!B255</f>
        <v>Coke de houille</v>
      </c>
      <c r="B51" s="146">
        <v>80.6</v>
      </c>
      <c r="C51" s="147">
        <v>28</v>
      </c>
    </row>
    <row r="52" spans="1:3" ht="13.5" thickBot="1">
      <c r="A52" s="145" t="str">
        <f>Translations!B256</f>
        <v>Gaz d’usine à gaz</v>
      </c>
      <c r="B52" s="146">
        <v>44.7</v>
      </c>
      <c r="C52" s="147">
        <v>38.7</v>
      </c>
    </row>
    <row r="53" spans="1:3" ht="13.5" thickBot="1">
      <c r="A53" s="145" t="str">
        <f>Translations!B257</f>
        <v>Gaz de cokeries</v>
      </c>
      <c r="B53" s="146">
        <v>44.7</v>
      </c>
      <c r="C53" s="147">
        <v>38.7</v>
      </c>
    </row>
    <row r="54" spans="1:3" ht="13.5" thickBot="1">
      <c r="A54" s="145" t="str">
        <f>Translations!B258</f>
        <v>Gaz de haut-fourneau</v>
      </c>
      <c r="B54" s="146">
        <v>259.4</v>
      </c>
      <c r="C54" s="147">
        <v>2.5</v>
      </c>
    </row>
    <row r="55" spans="1:3" ht="13.5" thickBot="1">
      <c r="A55" s="145" t="str">
        <f>Translations!B259</f>
        <v>Gaz de convertisseur à l’oxygène</v>
      </c>
      <c r="B55" s="146">
        <v>171.8</v>
      </c>
      <c r="C55" s="147">
        <v>7.1</v>
      </c>
    </row>
    <row r="56" spans="1:3" ht="13.5" thickBot="1">
      <c r="A56" s="145" t="str">
        <f>Translations!B260</f>
        <v>Gaz naturel</v>
      </c>
      <c r="B56" s="146">
        <v>56.1</v>
      </c>
      <c r="C56" s="147">
        <v>48</v>
      </c>
    </row>
    <row r="57" spans="1:3" ht="13.5" thickBot="1">
      <c r="A57" s="145" t="str">
        <f>Translations!B261</f>
        <v>Déchets industriels</v>
      </c>
      <c r="B57" s="146">
        <v>142.9</v>
      </c>
      <c r="C57" s="147" t="s">
        <v>527</v>
      </c>
    </row>
    <row r="58" spans="1:3" ht="13.5" thickBot="1">
      <c r="A58" s="145" t="str">
        <f>Translations!B262</f>
        <v>Huiles usagées</v>
      </c>
      <c r="B58" s="146">
        <v>73.3</v>
      </c>
      <c r="C58" s="147">
        <v>40.2</v>
      </c>
    </row>
    <row r="59" spans="1:3" ht="13.5" thickBot="1">
      <c r="A59" s="148" t="str">
        <f>Translations!B263</f>
        <v>Tourbe</v>
      </c>
      <c r="B59" s="146">
        <v>105.9</v>
      </c>
      <c r="C59" s="147">
        <v>9.8</v>
      </c>
    </row>
    <row r="60" spans="1:3" ht="13.5" thickBot="1">
      <c r="A60" s="145" t="str">
        <f>Translations!B264</f>
        <v>Bois/déchets de bois</v>
      </c>
      <c r="B60" s="146">
        <v>0</v>
      </c>
      <c r="C60" s="147">
        <v>15.6</v>
      </c>
    </row>
    <row r="61" spans="1:3" ht="13.5" thickBot="1">
      <c r="A61" s="145" t="str">
        <f>Translations!B265</f>
        <v>Autre biomasse primaire solide</v>
      </c>
      <c r="B61" s="146">
        <v>0</v>
      </c>
      <c r="C61" s="147">
        <v>11.6</v>
      </c>
    </row>
    <row r="62" spans="1:3" ht="13.5" thickBot="1">
      <c r="A62" s="145" t="str">
        <f>Translations!B266</f>
        <v>Charbon de bois</v>
      </c>
      <c r="B62" s="146">
        <v>0</v>
      </c>
      <c r="C62" s="147">
        <v>29.5</v>
      </c>
    </row>
    <row r="63" spans="1:3" ht="13.5" thickBot="1">
      <c r="A63" s="145" t="str">
        <f>Translations!B267</f>
        <v>Bioessence</v>
      </c>
      <c r="B63" s="146">
        <v>0</v>
      </c>
      <c r="C63" s="147">
        <v>27</v>
      </c>
    </row>
    <row r="64" spans="1:3" ht="13.5" thickBot="1">
      <c r="A64" s="145" t="str">
        <f>Translations!B268</f>
        <v>Biodiesels</v>
      </c>
      <c r="B64" s="146">
        <v>0</v>
      </c>
      <c r="C64" s="147">
        <v>27</v>
      </c>
    </row>
    <row r="65" spans="1:3" ht="13.5" thickBot="1">
      <c r="A65" s="145" t="str">
        <f>Translations!B269</f>
        <v>Autres biocarburants liquides</v>
      </c>
      <c r="B65" s="146">
        <v>0</v>
      </c>
      <c r="C65" s="147">
        <v>27.4</v>
      </c>
    </row>
    <row r="66" spans="1:3" ht="13.5" thickBot="1">
      <c r="A66" s="145" t="str">
        <f>Translations!B270</f>
        <v>Gaz de décharge</v>
      </c>
      <c r="B66" s="146">
        <v>0</v>
      </c>
      <c r="C66" s="147">
        <v>50.4</v>
      </c>
    </row>
    <row r="67" spans="1:3" ht="13.5" thickBot="1">
      <c r="A67" s="145" t="str">
        <f>Translations!B271</f>
        <v>Gaz de boues d'épuration</v>
      </c>
      <c r="B67" s="146">
        <v>0</v>
      </c>
      <c r="C67" s="147">
        <v>50.4</v>
      </c>
    </row>
    <row r="68" spans="1:3" ht="13.5" thickBot="1">
      <c r="A68" s="145" t="str">
        <f>Translations!B272</f>
        <v>Autres biogaz</v>
      </c>
      <c r="B68" s="146">
        <v>0</v>
      </c>
      <c r="C68" s="147">
        <v>50.4</v>
      </c>
    </row>
    <row r="69" spans="1:3" ht="13.5" thickBot="1">
      <c r="A69" s="149" t="str">
        <f>Translations!B273</f>
        <v>Pneus usagés</v>
      </c>
      <c r="B69" s="146">
        <v>85</v>
      </c>
      <c r="C69" s="147" t="s">
        <v>527</v>
      </c>
    </row>
    <row r="70" spans="1:3" ht="13.5" thickBot="1">
      <c r="A70" s="145" t="str">
        <f>Translations!B274</f>
        <v>Monoxyde de carbone</v>
      </c>
      <c r="B70" s="146">
        <v>155.2</v>
      </c>
      <c r="C70" s="147">
        <v>10.1</v>
      </c>
    </row>
    <row r="71" spans="1:3" ht="13.5" thickBot="1">
      <c r="A71" s="150" t="str">
        <f>Translations!B275</f>
        <v>Méthane</v>
      </c>
      <c r="B71" s="151">
        <v>54.9</v>
      </c>
      <c r="C71" s="152">
        <v>50</v>
      </c>
    </row>
    <row r="72" spans="1:3" ht="13.5" thickBot="1">
      <c r="A72" s="150"/>
      <c r="B72" s="151"/>
      <c r="C72" s="152"/>
    </row>
    <row r="73" spans="1:3" ht="12.75">
      <c r="A73" s="153" t="s">
        <v>530</v>
      </c>
      <c r="B73" s="93"/>
      <c r="C73" s="93"/>
    </row>
  </sheetData>
  <sheetProtection sheet="1" objects="1" scenarios="1" formatCells="0" formatColumns="0" formatRows="0"/>
  <mergeCells count="1">
    <mergeCell ref="C18:C19"/>
  </mergeCells>
  <dataValidations count="1">
    <dataValidation type="list" allowBlank="1" showInputMessage="1" showErrorMessage="1" sqref="E2:E5 B2:B5">
      <formula1>Euconst_TrueFalse</formula1>
    </dataValidation>
  </dataValidations>
  <printOptions/>
  <pageMargins left="0.787401575" right="0.787401575" top="0.984251969" bottom="0.984251969" header="0.4921259845" footer="0.4921259845"/>
  <pageSetup fitToHeight="4" fitToWidth="1" horizontalDpi="600" verticalDpi="600" orientation="portrait" paperSize="9" scale="73" r:id="rId1"/>
  <headerFooter alignWithMargins="0">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indexed="17"/>
    <pageSetUpPr fitToPage="1"/>
  </sheetPr>
  <dimension ref="A1:K1595"/>
  <sheetViews>
    <sheetView zoomScalePageLayoutView="0" workbookViewId="0" topLeftCell="A320">
      <selection activeCell="B334" sqref="B334"/>
    </sheetView>
  </sheetViews>
  <sheetFormatPr defaultColWidth="9.140625" defaultRowHeight="12.75"/>
  <cols>
    <col min="1" max="1" width="9.421875" style="155" customWidth="1"/>
    <col min="2" max="2" width="70.7109375" style="543" customWidth="1"/>
    <col min="3" max="3" width="70.7109375" style="155" customWidth="1"/>
    <col min="4" max="16384" width="9.140625" style="155" customWidth="1"/>
  </cols>
  <sheetData>
    <row r="1" spans="1:3" s="154" customFormat="1" ht="15">
      <c r="A1" s="154" t="s">
        <v>430</v>
      </c>
      <c r="B1" s="542" t="s">
        <v>67</v>
      </c>
      <c r="C1" s="154" t="s">
        <v>68</v>
      </c>
    </row>
    <row r="2" spans="1:2" ht="15">
      <c r="A2" s="253">
        <v>1</v>
      </c>
      <c r="B2" s="116" t="s">
        <v>574</v>
      </c>
    </row>
    <row r="3" spans="1:2" ht="15">
      <c r="A3" s="253">
        <v>2</v>
      </c>
      <c r="B3" s="116" t="s">
        <v>575</v>
      </c>
    </row>
    <row r="4" spans="1:2" ht="15">
      <c r="A4" s="253">
        <v>3</v>
      </c>
      <c r="B4" s="116" t="s">
        <v>576</v>
      </c>
    </row>
    <row r="5" spans="1:2" ht="15">
      <c r="A5" s="253">
        <v>4</v>
      </c>
      <c r="B5" s="116" t="s">
        <v>577</v>
      </c>
    </row>
    <row r="6" spans="1:2" ht="15">
      <c r="A6" s="253">
        <v>5</v>
      </c>
      <c r="B6" s="116" t="s">
        <v>578</v>
      </c>
    </row>
    <row r="7" spans="1:2" ht="15">
      <c r="A7" s="253">
        <v>6</v>
      </c>
      <c r="B7" s="116" t="s">
        <v>579</v>
      </c>
    </row>
    <row r="8" spans="1:2" ht="15">
      <c r="A8" s="253">
        <v>7</v>
      </c>
      <c r="B8" s="116" t="s">
        <v>580</v>
      </c>
    </row>
    <row r="9" spans="1:2" ht="15">
      <c r="A9" s="253">
        <v>8</v>
      </c>
      <c r="B9" s="116" t="s">
        <v>581</v>
      </c>
    </row>
    <row r="10" spans="1:2" ht="15">
      <c r="A10" s="253">
        <v>9</v>
      </c>
      <c r="B10" s="116" t="s">
        <v>582</v>
      </c>
    </row>
    <row r="11" spans="1:2" ht="15">
      <c r="A11" s="253">
        <v>10</v>
      </c>
      <c r="B11" s="116" t="s">
        <v>583</v>
      </c>
    </row>
    <row r="12" spans="1:2" ht="15">
      <c r="A12" s="253">
        <v>11</v>
      </c>
      <c r="B12" s="116" t="s">
        <v>584</v>
      </c>
    </row>
    <row r="13" spans="1:2" ht="15">
      <c r="A13" s="253">
        <v>12</v>
      </c>
      <c r="B13" s="116" t="s">
        <v>585</v>
      </c>
    </row>
    <row r="14" spans="1:2" ht="15">
      <c r="A14" s="253">
        <v>13</v>
      </c>
      <c r="B14" s="116" t="s">
        <v>586</v>
      </c>
    </row>
    <row r="15" spans="1:2" ht="15">
      <c r="A15" s="253">
        <v>14</v>
      </c>
      <c r="B15" s="116" t="s">
        <v>587</v>
      </c>
    </row>
    <row r="16" spans="1:2" ht="15">
      <c r="A16" s="253">
        <v>15</v>
      </c>
      <c r="B16" s="116" t="s">
        <v>588</v>
      </c>
    </row>
    <row r="17" spans="1:2" ht="15">
      <c r="A17" s="253">
        <v>16</v>
      </c>
      <c r="B17" s="116" t="s">
        <v>589</v>
      </c>
    </row>
    <row r="18" spans="1:2" ht="15">
      <c r="A18" s="253">
        <v>17</v>
      </c>
      <c r="B18" s="116" t="s">
        <v>294</v>
      </c>
    </row>
    <row r="19" spans="1:2" ht="15">
      <c r="A19" s="253">
        <v>18</v>
      </c>
      <c r="B19" s="116" t="s">
        <v>590</v>
      </c>
    </row>
    <row r="20" spans="1:2" ht="15">
      <c r="A20" s="253">
        <v>19</v>
      </c>
      <c r="B20" s="116" t="s">
        <v>591</v>
      </c>
    </row>
    <row r="21" spans="1:2" ht="15">
      <c r="A21" s="253">
        <v>20</v>
      </c>
      <c r="B21" s="116" t="s">
        <v>592</v>
      </c>
    </row>
    <row r="22" spans="1:2" ht="15">
      <c r="A22" s="253">
        <v>21</v>
      </c>
      <c r="B22" s="116" t="s">
        <v>593</v>
      </c>
    </row>
    <row r="23" spans="1:2" ht="15">
      <c r="A23" s="253">
        <v>22</v>
      </c>
      <c r="B23" s="116" t="s">
        <v>594</v>
      </c>
    </row>
    <row r="24" spans="1:2" ht="15">
      <c r="A24" s="253">
        <v>23</v>
      </c>
      <c r="B24" s="116" t="s">
        <v>595</v>
      </c>
    </row>
    <row r="25" spans="1:2" ht="15">
      <c r="A25" s="253">
        <v>24</v>
      </c>
      <c r="B25" s="116" t="s">
        <v>596</v>
      </c>
    </row>
    <row r="26" spans="1:2" ht="15">
      <c r="A26" s="253">
        <v>25</v>
      </c>
      <c r="B26" s="116" t="s">
        <v>597</v>
      </c>
    </row>
    <row r="27" spans="1:2" ht="15">
      <c r="A27" s="253">
        <v>26</v>
      </c>
      <c r="B27" s="116" t="s">
        <v>598</v>
      </c>
    </row>
    <row r="28" spans="1:2" ht="15">
      <c r="A28" s="253">
        <v>27</v>
      </c>
      <c r="B28" s="116" t="s">
        <v>596</v>
      </c>
    </row>
    <row r="29" spans="1:2" ht="15">
      <c r="A29" s="253">
        <v>28</v>
      </c>
      <c r="B29" s="116" t="s">
        <v>599</v>
      </c>
    </row>
    <row r="30" spans="1:2" ht="15">
      <c r="A30" s="253">
        <v>29</v>
      </c>
      <c r="B30" s="116" t="s">
        <v>600</v>
      </c>
    </row>
    <row r="31" spans="1:2" ht="15">
      <c r="A31" s="253">
        <v>30</v>
      </c>
      <c r="B31" s="116" t="s">
        <v>601</v>
      </c>
    </row>
    <row r="32" spans="1:2" ht="15">
      <c r="A32" s="253">
        <v>31</v>
      </c>
      <c r="B32" s="116" t="s">
        <v>602</v>
      </c>
    </row>
    <row r="33" spans="1:2" ht="15">
      <c r="A33" s="253">
        <v>32</v>
      </c>
      <c r="B33" s="116" t="s">
        <v>603</v>
      </c>
    </row>
    <row r="34" spans="1:2" ht="15">
      <c r="A34" s="253">
        <v>33</v>
      </c>
      <c r="B34" s="116" t="s">
        <v>604</v>
      </c>
    </row>
    <row r="35" spans="1:2" ht="15">
      <c r="A35" s="253">
        <v>34</v>
      </c>
      <c r="B35" s="116" t="s">
        <v>605</v>
      </c>
    </row>
    <row r="36" spans="1:2" ht="15">
      <c r="A36" s="253">
        <v>35</v>
      </c>
      <c r="B36" s="116" t="s">
        <v>606</v>
      </c>
    </row>
    <row r="37" spans="1:2" ht="15">
      <c r="A37" s="253">
        <v>36</v>
      </c>
      <c r="B37" s="116" t="s">
        <v>602</v>
      </c>
    </row>
    <row r="38" spans="1:2" ht="15">
      <c r="A38" s="253">
        <v>37</v>
      </c>
      <c r="B38" s="116" t="s">
        <v>603</v>
      </c>
    </row>
    <row r="39" spans="1:2" ht="15">
      <c r="A39" s="253">
        <v>38</v>
      </c>
      <c r="B39" s="116" t="s">
        <v>604</v>
      </c>
    </row>
    <row r="40" spans="1:2" ht="15">
      <c r="A40" s="253">
        <v>39</v>
      </c>
      <c r="B40" s="116" t="s">
        <v>605</v>
      </c>
    </row>
    <row r="41" spans="1:2" ht="15">
      <c r="A41" s="253">
        <v>40</v>
      </c>
      <c r="B41" s="116" t="s">
        <v>607</v>
      </c>
    </row>
    <row r="42" spans="1:2" ht="15">
      <c r="A42" s="253">
        <v>41</v>
      </c>
      <c r="B42" s="116" t="s">
        <v>608</v>
      </c>
    </row>
    <row r="43" spans="1:2" ht="15">
      <c r="A43" s="253">
        <v>42</v>
      </c>
      <c r="B43" s="116" t="s">
        <v>609</v>
      </c>
    </row>
    <row r="44" spans="1:2" ht="15">
      <c r="A44" s="253">
        <v>43</v>
      </c>
      <c r="B44" s="116" t="s">
        <v>610</v>
      </c>
    </row>
    <row r="45" spans="1:2" ht="15">
      <c r="A45" s="253">
        <v>44</v>
      </c>
      <c r="B45" s="116" t="s">
        <v>611</v>
      </c>
    </row>
    <row r="46" spans="1:2" ht="15">
      <c r="A46" s="253">
        <v>45</v>
      </c>
      <c r="B46" s="116" t="s">
        <v>612</v>
      </c>
    </row>
    <row r="47" spans="1:2" ht="15">
      <c r="A47" s="253">
        <v>46</v>
      </c>
      <c r="B47" s="116" t="s">
        <v>613</v>
      </c>
    </row>
    <row r="48" spans="1:2" ht="15">
      <c r="A48" s="253">
        <v>47</v>
      </c>
      <c r="B48" s="116" t="s">
        <v>614</v>
      </c>
    </row>
    <row r="49" spans="1:2" ht="15">
      <c r="A49" s="253">
        <v>48</v>
      </c>
      <c r="B49" s="116" t="s">
        <v>615</v>
      </c>
    </row>
    <row r="50" spans="1:2" ht="15">
      <c r="A50" s="253">
        <v>49</v>
      </c>
      <c r="B50" s="116" t="s">
        <v>616</v>
      </c>
    </row>
    <row r="51" spans="1:2" ht="15">
      <c r="A51" s="253">
        <v>50</v>
      </c>
      <c r="B51" s="116" t="s">
        <v>617</v>
      </c>
    </row>
    <row r="52" spans="1:2" ht="15">
      <c r="A52" s="253">
        <v>51</v>
      </c>
      <c r="B52" s="116" t="s">
        <v>618</v>
      </c>
    </row>
    <row r="53" spans="1:2" ht="15">
      <c r="A53" s="253">
        <v>54</v>
      </c>
      <c r="B53" s="116" t="s">
        <v>619</v>
      </c>
    </row>
    <row r="54" spans="1:2" ht="15">
      <c r="A54" s="253">
        <v>55</v>
      </c>
      <c r="B54" s="116" t="s">
        <v>620</v>
      </c>
    </row>
    <row r="55" spans="1:2" ht="15">
      <c r="A55" s="253">
        <v>56</v>
      </c>
      <c r="B55" s="116" t="s">
        <v>621</v>
      </c>
    </row>
    <row r="56" spans="1:2" ht="15">
      <c r="A56" s="253">
        <v>57</v>
      </c>
      <c r="B56" s="116" t="s">
        <v>622</v>
      </c>
    </row>
    <row r="57" spans="1:2" ht="15">
      <c r="A57" s="253">
        <v>58</v>
      </c>
      <c r="B57" s="116" t="s">
        <v>623</v>
      </c>
    </row>
    <row r="58" spans="1:2" ht="15">
      <c r="A58" s="253">
        <v>59</v>
      </c>
      <c r="B58" s="116" t="s">
        <v>624</v>
      </c>
    </row>
    <row r="59" spans="1:2" ht="15">
      <c r="A59" s="253">
        <v>60</v>
      </c>
      <c r="B59" s="116" t="s">
        <v>625</v>
      </c>
    </row>
    <row r="60" spans="1:2" ht="15">
      <c r="A60" s="253">
        <v>61</v>
      </c>
      <c r="B60" s="116" t="s">
        <v>626</v>
      </c>
    </row>
    <row r="61" spans="1:2" ht="15">
      <c r="A61" s="253">
        <v>62</v>
      </c>
      <c r="B61" s="116" t="s">
        <v>301</v>
      </c>
    </row>
    <row r="62" spans="1:2" ht="15">
      <c r="A62" s="253">
        <v>63</v>
      </c>
      <c r="B62" s="116" t="s">
        <v>627</v>
      </c>
    </row>
    <row r="63" spans="1:2" ht="15">
      <c r="A63" s="253">
        <v>64</v>
      </c>
      <c r="B63" s="116" t="s">
        <v>628</v>
      </c>
    </row>
    <row r="64" spans="1:2" ht="15">
      <c r="A64" s="253">
        <v>65</v>
      </c>
      <c r="B64" s="116" t="s">
        <v>629</v>
      </c>
    </row>
    <row r="65" spans="1:2" ht="15">
      <c r="A65" s="253">
        <v>66</v>
      </c>
      <c r="B65" s="116" t="s">
        <v>630</v>
      </c>
    </row>
    <row r="66" spans="1:2" ht="15">
      <c r="A66" s="253">
        <v>67</v>
      </c>
      <c r="B66" s="116" t="s">
        <v>631</v>
      </c>
    </row>
    <row r="67" spans="1:2" ht="15">
      <c r="A67" s="253">
        <v>68</v>
      </c>
      <c r="B67" s="116" t="s">
        <v>632</v>
      </c>
    </row>
    <row r="68" spans="1:2" ht="15">
      <c r="A68" s="253">
        <v>69</v>
      </c>
      <c r="B68" s="116" t="s">
        <v>633</v>
      </c>
    </row>
    <row r="69" spans="1:2" ht="15">
      <c r="A69" s="253">
        <v>70</v>
      </c>
      <c r="B69" s="116" t="s">
        <v>632</v>
      </c>
    </row>
    <row r="70" spans="1:2" ht="15">
      <c r="A70" s="253">
        <v>71</v>
      </c>
      <c r="B70" s="116" t="s">
        <v>634</v>
      </c>
    </row>
    <row r="71" spans="1:2" ht="15">
      <c r="A71" s="253">
        <v>72</v>
      </c>
      <c r="B71" s="116" t="s">
        <v>635</v>
      </c>
    </row>
    <row r="72" spans="1:2" ht="15">
      <c r="A72" s="253">
        <v>76</v>
      </c>
      <c r="B72" s="116" t="s">
        <v>636</v>
      </c>
    </row>
    <row r="73" spans="1:2" ht="15">
      <c r="A73" s="253">
        <v>77</v>
      </c>
      <c r="B73" s="116" t="s">
        <v>637</v>
      </c>
    </row>
    <row r="74" spans="1:2" ht="15">
      <c r="A74" s="253">
        <v>78</v>
      </c>
      <c r="B74" s="116" t="s">
        <v>638</v>
      </c>
    </row>
    <row r="75" spans="1:2" ht="15">
      <c r="A75" s="253">
        <v>79</v>
      </c>
      <c r="B75" s="116" t="s">
        <v>639</v>
      </c>
    </row>
    <row r="76" spans="1:2" ht="15">
      <c r="A76" s="253">
        <v>80</v>
      </c>
      <c r="B76" s="116" t="s">
        <v>640</v>
      </c>
    </row>
    <row r="77" spans="1:2" ht="15">
      <c r="A77" s="253">
        <v>81</v>
      </c>
      <c r="B77" s="116" t="s">
        <v>641</v>
      </c>
    </row>
    <row r="78" spans="1:2" ht="15">
      <c r="A78" s="253">
        <v>82</v>
      </c>
      <c r="B78" s="116" t="s">
        <v>642</v>
      </c>
    </row>
    <row r="79" spans="1:2" ht="15">
      <c r="A79" s="253">
        <v>83</v>
      </c>
      <c r="B79" s="116" t="s">
        <v>643</v>
      </c>
    </row>
    <row r="80" spans="1:2" ht="15">
      <c r="A80" s="253">
        <v>84</v>
      </c>
      <c r="B80" s="116" t="s">
        <v>644</v>
      </c>
    </row>
    <row r="81" spans="1:2" ht="15">
      <c r="A81" s="253">
        <v>85</v>
      </c>
      <c r="B81" s="116" t="s">
        <v>645</v>
      </c>
    </row>
    <row r="82" spans="1:2" ht="15">
      <c r="A82" s="253">
        <v>86</v>
      </c>
      <c r="B82" s="116" t="s">
        <v>646</v>
      </c>
    </row>
    <row r="83" spans="1:2" ht="15">
      <c r="A83" s="253">
        <v>87</v>
      </c>
      <c r="B83" s="116" t="s">
        <v>647</v>
      </c>
    </row>
    <row r="84" spans="1:2" ht="15">
      <c r="A84" s="253">
        <v>88</v>
      </c>
      <c r="B84" s="116" t="s">
        <v>648</v>
      </c>
    </row>
    <row r="85" spans="1:2" ht="15">
      <c r="A85" s="253">
        <v>89</v>
      </c>
      <c r="B85" s="116" t="s">
        <v>649</v>
      </c>
    </row>
    <row r="86" spans="1:2" ht="15">
      <c r="A86" s="253">
        <v>90</v>
      </c>
      <c r="B86" s="116" t="s">
        <v>650</v>
      </c>
    </row>
    <row r="87" spans="1:2" ht="15">
      <c r="A87" s="253">
        <v>91</v>
      </c>
      <c r="B87" s="116" t="s">
        <v>651</v>
      </c>
    </row>
    <row r="88" spans="1:2" ht="15">
      <c r="A88" s="385">
        <v>92</v>
      </c>
      <c r="B88" s="319" t="s">
        <v>652</v>
      </c>
    </row>
    <row r="89" spans="1:2" ht="15">
      <c r="A89" s="385">
        <v>93</v>
      </c>
      <c r="B89" s="319" t="s">
        <v>653</v>
      </c>
    </row>
    <row r="90" spans="1:2" ht="15">
      <c r="A90" s="253">
        <v>94</v>
      </c>
      <c r="B90" s="319" t="s">
        <v>654</v>
      </c>
    </row>
    <row r="91" spans="1:2" ht="15">
      <c r="A91" s="253">
        <v>96</v>
      </c>
      <c r="B91" s="319" t="s">
        <v>655</v>
      </c>
    </row>
    <row r="92" spans="1:2" ht="15">
      <c r="A92" s="253">
        <v>97</v>
      </c>
      <c r="B92" s="319" t="s">
        <v>656</v>
      </c>
    </row>
    <row r="93" spans="1:2" ht="15">
      <c r="A93" s="253">
        <v>98</v>
      </c>
      <c r="B93" s="319" t="s">
        <v>657</v>
      </c>
    </row>
    <row r="94" spans="1:2" ht="15">
      <c r="A94" s="253">
        <v>99</v>
      </c>
      <c r="B94" s="319" t="s">
        <v>658</v>
      </c>
    </row>
    <row r="95" spans="1:2" ht="15">
      <c r="A95" s="253">
        <v>100</v>
      </c>
      <c r="B95" s="319" t="s">
        <v>659</v>
      </c>
    </row>
    <row r="96" spans="1:2" ht="15">
      <c r="A96" s="253">
        <v>101</v>
      </c>
      <c r="B96" s="319" t="s">
        <v>660</v>
      </c>
    </row>
    <row r="97" spans="1:2" ht="15">
      <c r="A97" s="253">
        <v>102</v>
      </c>
      <c r="B97" s="588" t="s">
        <v>661</v>
      </c>
    </row>
    <row r="98" spans="1:2" ht="15">
      <c r="A98" s="253">
        <v>103</v>
      </c>
      <c r="B98" s="588" t="s">
        <v>662</v>
      </c>
    </row>
    <row r="99" spans="1:2" ht="15">
      <c r="A99" s="253">
        <v>104</v>
      </c>
      <c r="B99" s="588" t="s">
        <v>663</v>
      </c>
    </row>
    <row r="100" spans="1:2" ht="15">
      <c r="A100" s="253">
        <v>105</v>
      </c>
      <c r="B100" s="588" t="s">
        <v>664</v>
      </c>
    </row>
    <row r="101" spans="1:2" ht="15">
      <c r="A101" s="253">
        <v>106</v>
      </c>
      <c r="B101" s="588" t="s">
        <v>665</v>
      </c>
    </row>
    <row r="102" spans="1:2" ht="15">
      <c r="A102" s="253">
        <v>107</v>
      </c>
      <c r="B102" s="588" t="s">
        <v>666</v>
      </c>
    </row>
    <row r="103" spans="1:2" ht="15">
      <c r="A103" s="253">
        <v>108</v>
      </c>
      <c r="B103" s="588" t="s">
        <v>667</v>
      </c>
    </row>
    <row r="104" spans="1:2" ht="15">
      <c r="A104" s="253">
        <v>109</v>
      </c>
      <c r="B104" s="588" t="s">
        <v>668</v>
      </c>
    </row>
    <row r="105" spans="1:2" ht="15">
      <c r="A105" s="253">
        <v>110</v>
      </c>
      <c r="B105" s="588" t="s">
        <v>669</v>
      </c>
    </row>
    <row r="106" spans="1:2" ht="15">
      <c r="A106" s="253">
        <v>111</v>
      </c>
      <c r="B106" s="588" t="s">
        <v>670</v>
      </c>
    </row>
    <row r="107" spans="1:2" ht="15">
      <c r="A107" s="253">
        <v>112</v>
      </c>
      <c r="B107" s="588" t="s">
        <v>671</v>
      </c>
    </row>
    <row r="108" spans="1:2" ht="15">
      <c r="A108" s="253">
        <v>113</v>
      </c>
      <c r="B108" s="319" t="s">
        <v>672</v>
      </c>
    </row>
    <row r="109" spans="1:2" ht="15">
      <c r="A109" s="253">
        <v>114</v>
      </c>
      <c r="B109" s="319" t="s">
        <v>673</v>
      </c>
    </row>
    <row r="110" spans="1:2" ht="15">
      <c r="A110" s="253">
        <v>115</v>
      </c>
      <c r="B110" s="116" t="s">
        <v>674</v>
      </c>
    </row>
    <row r="111" spans="1:2" ht="15">
      <c r="A111" s="253">
        <v>116</v>
      </c>
      <c r="B111" s="116" t="s">
        <v>675</v>
      </c>
    </row>
    <row r="112" spans="1:2" ht="15">
      <c r="A112" s="253">
        <v>117</v>
      </c>
      <c r="B112" s="116" t="s">
        <v>676</v>
      </c>
    </row>
    <row r="113" spans="1:2" ht="15">
      <c r="A113" s="253">
        <v>118</v>
      </c>
      <c r="B113" s="116" t="s">
        <v>677</v>
      </c>
    </row>
    <row r="114" spans="1:2" ht="15">
      <c r="A114" s="253">
        <v>119</v>
      </c>
      <c r="B114" s="116" t="s">
        <v>678</v>
      </c>
    </row>
    <row r="115" spans="1:2" ht="15">
      <c r="A115" s="253">
        <v>120</v>
      </c>
      <c r="B115" s="116" t="s">
        <v>679</v>
      </c>
    </row>
    <row r="116" spans="1:2" ht="15">
      <c r="A116" s="253">
        <v>121</v>
      </c>
      <c r="B116" s="116" t="s">
        <v>472</v>
      </c>
    </row>
    <row r="117" spans="1:2" ht="15">
      <c r="A117" s="253">
        <v>122</v>
      </c>
      <c r="B117" s="116" t="s">
        <v>680</v>
      </c>
    </row>
    <row r="118" spans="1:2" ht="15">
      <c r="A118" s="253">
        <v>123</v>
      </c>
      <c r="B118" s="116" t="s">
        <v>681</v>
      </c>
    </row>
    <row r="119" spans="1:2" ht="15">
      <c r="A119" s="253">
        <v>124</v>
      </c>
      <c r="B119" s="116" t="s">
        <v>682</v>
      </c>
    </row>
    <row r="120" spans="1:2" ht="15">
      <c r="A120" s="253">
        <v>125</v>
      </c>
      <c r="B120" s="116" t="s">
        <v>683</v>
      </c>
    </row>
    <row r="121" spans="1:2" ht="15">
      <c r="A121" s="253">
        <v>126</v>
      </c>
      <c r="B121" s="116" t="s">
        <v>684</v>
      </c>
    </row>
    <row r="122" spans="1:2" ht="15">
      <c r="A122" s="253">
        <v>127</v>
      </c>
      <c r="B122" s="116" t="s">
        <v>685</v>
      </c>
    </row>
    <row r="123" spans="1:2" ht="15">
      <c r="A123" s="253">
        <v>128</v>
      </c>
      <c r="B123" s="116" t="s">
        <v>686</v>
      </c>
    </row>
    <row r="124" spans="1:2" ht="15">
      <c r="A124" s="253">
        <v>129</v>
      </c>
      <c r="B124" s="116" t="s">
        <v>61</v>
      </c>
    </row>
    <row r="125" spans="1:2" ht="15">
      <c r="A125" s="253">
        <v>130</v>
      </c>
      <c r="B125" s="116" t="s">
        <v>687</v>
      </c>
    </row>
    <row r="126" spans="1:2" ht="15">
      <c r="A126" s="253">
        <v>131</v>
      </c>
      <c r="B126" s="116" t="s">
        <v>508</v>
      </c>
    </row>
    <row r="127" spans="1:2" ht="15">
      <c r="A127" s="253">
        <v>132</v>
      </c>
      <c r="B127" s="116" t="s">
        <v>688</v>
      </c>
    </row>
    <row r="128" spans="1:2" ht="15">
      <c r="A128" s="253">
        <v>133</v>
      </c>
      <c r="B128" s="116" t="s">
        <v>689</v>
      </c>
    </row>
    <row r="129" spans="1:2" ht="15">
      <c r="A129" s="253">
        <v>134</v>
      </c>
      <c r="B129" s="116" t="s">
        <v>690</v>
      </c>
    </row>
    <row r="130" spans="1:2" ht="15">
      <c r="A130" s="253">
        <v>135</v>
      </c>
      <c r="B130" s="116" t="s">
        <v>691</v>
      </c>
    </row>
    <row r="131" spans="1:2" ht="15">
      <c r="A131" s="253">
        <v>136</v>
      </c>
      <c r="B131" s="116" t="s">
        <v>320</v>
      </c>
    </row>
    <row r="132" spans="1:2" ht="15">
      <c r="A132" s="253">
        <v>137</v>
      </c>
      <c r="B132" s="116" t="s">
        <v>692</v>
      </c>
    </row>
    <row r="133" spans="1:2" ht="15">
      <c r="A133" s="253">
        <v>138</v>
      </c>
      <c r="B133" s="116" t="s">
        <v>693</v>
      </c>
    </row>
    <row r="134" spans="1:2" ht="15">
      <c r="A134" s="253">
        <v>139</v>
      </c>
      <c r="B134" s="116" t="s">
        <v>694</v>
      </c>
    </row>
    <row r="135" spans="1:2" ht="15">
      <c r="A135" s="253">
        <v>140</v>
      </c>
      <c r="B135" s="116" t="s">
        <v>695</v>
      </c>
    </row>
    <row r="136" spans="1:2" ht="15">
      <c r="A136" s="253">
        <v>141</v>
      </c>
      <c r="B136" s="116" t="s">
        <v>696</v>
      </c>
    </row>
    <row r="137" spans="1:2" ht="15">
      <c r="A137" s="253">
        <v>142</v>
      </c>
      <c r="B137" s="116" t="s">
        <v>697</v>
      </c>
    </row>
    <row r="138" spans="1:2" ht="15">
      <c r="A138" s="253">
        <v>143</v>
      </c>
      <c r="B138" s="119" t="s">
        <v>698</v>
      </c>
    </row>
    <row r="139" spans="1:2" ht="15">
      <c r="A139" s="253">
        <v>144</v>
      </c>
      <c r="B139" s="589" t="s">
        <v>699</v>
      </c>
    </row>
    <row r="140" spans="1:2" ht="15">
      <c r="A140" s="253">
        <v>145</v>
      </c>
      <c r="B140" s="589" t="s">
        <v>700</v>
      </c>
    </row>
    <row r="141" spans="1:2" ht="15">
      <c r="A141" s="253">
        <v>146</v>
      </c>
      <c r="B141" s="589" t="s">
        <v>701</v>
      </c>
    </row>
    <row r="142" spans="1:2" ht="15">
      <c r="A142" s="253">
        <v>147</v>
      </c>
      <c r="B142" s="589" t="s">
        <v>702</v>
      </c>
    </row>
    <row r="143" spans="1:2" ht="15">
      <c r="A143" s="253">
        <v>148</v>
      </c>
      <c r="B143" s="589" t="s">
        <v>703</v>
      </c>
    </row>
    <row r="144" spans="1:2" ht="15">
      <c r="A144" s="253">
        <v>149</v>
      </c>
      <c r="B144" s="589" t="s">
        <v>704</v>
      </c>
    </row>
    <row r="145" spans="1:2" ht="15">
      <c r="A145" s="253">
        <v>150</v>
      </c>
      <c r="B145" s="589" t="s">
        <v>705</v>
      </c>
    </row>
    <row r="146" spans="1:2" ht="15">
      <c r="A146" s="253">
        <v>151</v>
      </c>
      <c r="B146" s="589" t="s">
        <v>706</v>
      </c>
    </row>
    <row r="147" spans="1:2" ht="15">
      <c r="A147" s="253">
        <v>152</v>
      </c>
      <c r="B147" s="589" t="s">
        <v>707</v>
      </c>
    </row>
    <row r="148" spans="1:2" ht="15">
      <c r="A148" s="253">
        <v>153</v>
      </c>
      <c r="B148" s="589" t="s">
        <v>708</v>
      </c>
    </row>
    <row r="149" spans="1:2" ht="15">
      <c r="A149" s="253">
        <v>154</v>
      </c>
      <c r="B149" s="589" t="s">
        <v>709</v>
      </c>
    </row>
    <row r="150" spans="1:2" ht="15">
      <c r="A150" s="253">
        <v>155</v>
      </c>
      <c r="B150" s="589" t="s">
        <v>710</v>
      </c>
    </row>
    <row r="151" spans="1:2" ht="15">
      <c r="A151" s="253">
        <v>156</v>
      </c>
      <c r="B151" s="589" t="s">
        <v>711</v>
      </c>
    </row>
    <row r="152" spans="1:2" ht="15">
      <c r="A152" s="253">
        <v>157</v>
      </c>
      <c r="B152" s="589" t="s">
        <v>712</v>
      </c>
    </row>
    <row r="153" spans="1:2" ht="15">
      <c r="A153" s="253">
        <v>158</v>
      </c>
      <c r="B153" s="589" t="s">
        <v>713</v>
      </c>
    </row>
    <row r="154" spans="1:2" ht="15">
      <c r="A154" s="253">
        <v>159</v>
      </c>
      <c r="B154" s="589" t="s">
        <v>714</v>
      </c>
    </row>
    <row r="155" spans="1:2" ht="15">
      <c r="A155" s="253">
        <v>160</v>
      </c>
      <c r="B155" s="589" t="s">
        <v>715</v>
      </c>
    </row>
    <row r="156" spans="1:2" ht="15">
      <c r="A156" s="253">
        <v>161</v>
      </c>
      <c r="B156" s="589" t="s">
        <v>716</v>
      </c>
    </row>
    <row r="157" spans="1:2" ht="15">
      <c r="A157" s="253">
        <v>162</v>
      </c>
      <c r="B157" s="589" t="s">
        <v>717</v>
      </c>
    </row>
    <row r="158" spans="1:2" ht="15">
      <c r="A158" s="253">
        <v>163</v>
      </c>
      <c r="B158" s="589" t="s">
        <v>718</v>
      </c>
    </row>
    <row r="159" spans="1:2" ht="15">
      <c r="A159" s="253">
        <v>164</v>
      </c>
      <c r="B159" s="589" t="s">
        <v>719</v>
      </c>
    </row>
    <row r="160" spans="1:2" ht="15">
      <c r="A160" s="253">
        <v>165</v>
      </c>
      <c r="B160" s="589" t="s">
        <v>720</v>
      </c>
    </row>
    <row r="161" spans="1:2" ht="15">
      <c r="A161" s="253">
        <v>166</v>
      </c>
      <c r="B161" s="589" t="s">
        <v>721</v>
      </c>
    </row>
    <row r="162" spans="1:2" ht="15">
      <c r="A162" s="253">
        <v>167</v>
      </c>
      <c r="B162" s="589" t="s">
        <v>722</v>
      </c>
    </row>
    <row r="163" spans="1:2" ht="15">
      <c r="A163" s="253">
        <v>168</v>
      </c>
      <c r="B163" s="589" t="s">
        <v>723</v>
      </c>
    </row>
    <row r="164" spans="1:2" ht="15">
      <c r="A164" s="253">
        <v>169</v>
      </c>
      <c r="B164" s="589" t="s">
        <v>724</v>
      </c>
    </row>
    <row r="165" spans="1:2" ht="15">
      <c r="A165" s="253">
        <v>170</v>
      </c>
      <c r="B165" s="589" t="s">
        <v>725</v>
      </c>
    </row>
    <row r="166" spans="1:2" ht="15">
      <c r="A166" s="253">
        <v>171</v>
      </c>
      <c r="B166" s="116" t="s">
        <v>726</v>
      </c>
    </row>
    <row r="167" spans="1:2" ht="15">
      <c r="A167" s="253">
        <v>172</v>
      </c>
      <c r="B167" s="116" t="s">
        <v>543</v>
      </c>
    </row>
    <row r="168" spans="1:2" ht="15">
      <c r="A168" s="253">
        <v>173</v>
      </c>
      <c r="B168" s="116" t="s">
        <v>727</v>
      </c>
    </row>
    <row r="169" spans="1:2" ht="15">
      <c r="A169" s="253">
        <v>174</v>
      </c>
      <c r="B169" s="116" t="s">
        <v>728</v>
      </c>
    </row>
    <row r="170" spans="1:2" ht="15">
      <c r="A170" s="253">
        <v>175</v>
      </c>
      <c r="B170" s="116" t="s">
        <v>729</v>
      </c>
    </row>
    <row r="171" spans="1:2" ht="15">
      <c r="A171" s="253">
        <v>176</v>
      </c>
      <c r="B171" s="116" t="s">
        <v>730</v>
      </c>
    </row>
    <row r="172" spans="1:2" ht="15">
      <c r="A172" s="253">
        <v>177</v>
      </c>
      <c r="B172" s="116" t="s">
        <v>731</v>
      </c>
    </row>
    <row r="173" spans="1:2" ht="15">
      <c r="A173" s="253">
        <v>178</v>
      </c>
      <c r="B173" s="116" t="s">
        <v>732</v>
      </c>
    </row>
    <row r="174" spans="1:2" ht="15">
      <c r="A174" s="253">
        <v>179</v>
      </c>
      <c r="B174" s="116" t="s">
        <v>733</v>
      </c>
    </row>
    <row r="175" spans="1:2" ht="15">
      <c r="A175" s="253">
        <v>180</v>
      </c>
      <c r="B175" s="116" t="s">
        <v>734</v>
      </c>
    </row>
    <row r="176" spans="1:2" ht="15">
      <c r="A176" s="253">
        <v>181</v>
      </c>
      <c r="B176" s="116" t="s">
        <v>735</v>
      </c>
    </row>
    <row r="177" spans="1:2" ht="15">
      <c r="A177" s="253">
        <v>182</v>
      </c>
      <c r="B177" s="116" t="s">
        <v>736</v>
      </c>
    </row>
    <row r="178" spans="1:2" ht="15">
      <c r="A178" s="253">
        <v>183</v>
      </c>
      <c r="B178" s="116" t="s">
        <v>737</v>
      </c>
    </row>
    <row r="179" spans="1:2" ht="15">
      <c r="A179" s="253">
        <v>184</v>
      </c>
      <c r="B179" s="116" t="s">
        <v>738</v>
      </c>
    </row>
    <row r="180" spans="1:2" ht="15">
      <c r="A180" s="253">
        <v>185</v>
      </c>
      <c r="B180" s="116" t="s">
        <v>739</v>
      </c>
    </row>
    <row r="181" spans="1:2" ht="15">
      <c r="A181" s="253">
        <v>186</v>
      </c>
      <c r="B181" s="116" t="s">
        <v>740</v>
      </c>
    </row>
    <row r="182" spans="1:2" ht="15">
      <c r="A182" s="253">
        <v>187</v>
      </c>
      <c r="B182" s="116" t="s">
        <v>741</v>
      </c>
    </row>
    <row r="183" spans="1:2" ht="15">
      <c r="A183" s="253">
        <v>188</v>
      </c>
      <c r="B183" s="116" t="s">
        <v>742</v>
      </c>
    </row>
    <row r="184" spans="1:2" ht="15">
      <c r="A184" s="253">
        <v>189</v>
      </c>
      <c r="B184" s="116" t="s">
        <v>743</v>
      </c>
    </row>
    <row r="185" spans="1:2" ht="15">
      <c r="A185" s="253">
        <v>190</v>
      </c>
      <c r="B185" s="116" t="s">
        <v>744</v>
      </c>
    </row>
    <row r="186" spans="1:2" ht="15">
      <c r="A186" s="253">
        <v>191</v>
      </c>
      <c r="B186" s="116" t="s">
        <v>745</v>
      </c>
    </row>
    <row r="187" spans="1:2" ht="15">
      <c r="A187" s="253">
        <v>192</v>
      </c>
      <c r="B187" s="116" t="s">
        <v>746</v>
      </c>
    </row>
    <row r="188" spans="1:2" ht="15">
      <c r="A188" s="253">
        <v>193</v>
      </c>
      <c r="B188" s="116" t="s">
        <v>747</v>
      </c>
    </row>
    <row r="189" spans="1:2" ht="15">
      <c r="A189" s="253">
        <v>194</v>
      </c>
      <c r="B189" s="116" t="s">
        <v>748</v>
      </c>
    </row>
    <row r="190" spans="1:2" ht="15">
      <c r="A190" s="253">
        <v>195</v>
      </c>
      <c r="B190" s="116" t="s">
        <v>749</v>
      </c>
    </row>
    <row r="191" spans="1:2" ht="15">
      <c r="A191" s="253">
        <v>196</v>
      </c>
      <c r="B191" s="116" t="s">
        <v>750</v>
      </c>
    </row>
    <row r="192" spans="1:2" ht="15">
      <c r="A192" s="253">
        <v>197</v>
      </c>
      <c r="B192" s="116" t="s">
        <v>751</v>
      </c>
    </row>
    <row r="193" spans="1:2" ht="15">
      <c r="A193" s="253">
        <v>198</v>
      </c>
      <c r="B193" s="116" t="s">
        <v>752</v>
      </c>
    </row>
    <row r="194" spans="1:2" ht="15">
      <c r="A194" s="253">
        <v>199</v>
      </c>
      <c r="B194" s="116" t="s">
        <v>753</v>
      </c>
    </row>
    <row r="195" spans="1:2" ht="15">
      <c r="A195" s="253">
        <v>200</v>
      </c>
      <c r="B195" s="116" t="s">
        <v>754</v>
      </c>
    </row>
    <row r="196" spans="1:2" ht="15">
      <c r="A196" s="253">
        <v>201</v>
      </c>
      <c r="B196" s="116" t="s">
        <v>755</v>
      </c>
    </row>
    <row r="197" spans="1:2" ht="15">
      <c r="A197" s="253">
        <v>202</v>
      </c>
      <c r="B197" s="116" t="s">
        <v>756</v>
      </c>
    </row>
    <row r="198" spans="1:2" ht="15">
      <c r="A198" s="253">
        <v>203</v>
      </c>
      <c r="B198" s="116" t="s">
        <v>757</v>
      </c>
    </row>
    <row r="199" spans="1:2" ht="15">
      <c r="A199" s="253">
        <v>204</v>
      </c>
      <c r="B199" s="116" t="s">
        <v>758</v>
      </c>
    </row>
    <row r="200" spans="1:2" ht="15">
      <c r="A200" s="253">
        <v>205</v>
      </c>
      <c r="B200" s="116" t="s">
        <v>759</v>
      </c>
    </row>
    <row r="201" spans="1:2" ht="15">
      <c r="A201" s="253">
        <v>206</v>
      </c>
      <c r="B201" s="116" t="s">
        <v>760</v>
      </c>
    </row>
    <row r="202" spans="1:2" ht="15">
      <c r="A202" s="253">
        <v>207</v>
      </c>
      <c r="B202" s="116" t="s">
        <v>761</v>
      </c>
    </row>
    <row r="203" spans="1:2" ht="15">
      <c r="A203" s="253">
        <v>208</v>
      </c>
      <c r="B203" s="116" t="s">
        <v>762</v>
      </c>
    </row>
    <row r="204" spans="1:2" ht="15">
      <c r="A204" s="253">
        <v>209</v>
      </c>
      <c r="B204" s="116" t="s">
        <v>763</v>
      </c>
    </row>
    <row r="205" spans="1:2" ht="15">
      <c r="A205" s="253">
        <v>210</v>
      </c>
      <c r="B205" s="116" t="s">
        <v>764</v>
      </c>
    </row>
    <row r="206" spans="1:2" ht="15">
      <c r="A206" s="253">
        <v>211</v>
      </c>
      <c r="B206" s="116" t="s">
        <v>765</v>
      </c>
    </row>
    <row r="207" spans="1:2" ht="15">
      <c r="A207" s="253">
        <v>212</v>
      </c>
      <c r="B207" s="116" t="s">
        <v>766</v>
      </c>
    </row>
    <row r="208" spans="1:2" ht="15">
      <c r="A208" s="253">
        <v>213</v>
      </c>
      <c r="B208" s="116" t="s">
        <v>767</v>
      </c>
    </row>
    <row r="209" spans="1:2" ht="15">
      <c r="A209" s="253">
        <v>214</v>
      </c>
      <c r="B209" s="116" t="s">
        <v>768</v>
      </c>
    </row>
    <row r="210" spans="1:2" ht="15">
      <c r="A210" s="253">
        <v>215</v>
      </c>
      <c r="B210" s="116" t="s">
        <v>769</v>
      </c>
    </row>
    <row r="211" spans="1:2" ht="15">
      <c r="A211" s="253">
        <v>216</v>
      </c>
      <c r="B211" s="116" t="s">
        <v>770</v>
      </c>
    </row>
    <row r="212" spans="1:2" ht="15">
      <c r="A212" s="253">
        <v>217</v>
      </c>
      <c r="B212" s="116" t="s">
        <v>771</v>
      </c>
    </row>
    <row r="213" spans="1:2" ht="15">
      <c r="A213" s="253">
        <v>218</v>
      </c>
      <c r="B213" s="116" t="s">
        <v>772</v>
      </c>
    </row>
    <row r="214" spans="1:2" ht="15">
      <c r="A214" s="253">
        <v>219</v>
      </c>
      <c r="B214" s="116" t="s">
        <v>773</v>
      </c>
    </row>
    <row r="215" spans="1:2" ht="15">
      <c r="A215" s="253">
        <v>220</v>
      </c>
      <c r="B215" s="116" t="s">
        <v>774</v>
      </c>
    </row>
    <row r="216" spans="1:2" ht="15">
      <c r="A216" s="253">
        <v>221</v>
      </c>
      <c r="B216" s="116" t="s">
        <v>775</v>
      </c>
    </row>
    <row r="217" spans="1:2" ht="15">
      <c r="A217" s="253">
        <v>222</v>
      </c>
      <c r="B217" s="116" t="s">
        <v>776</v>
      </c>
    </row>
    <row r="218" spans="1:2" ht="15">
      <c r="A218" s="253">
        <v>223</v>
      </c>
      <c r="B218" s="590" t="s">
        <v>777</v>
      </c>
    </row>
    <row r="219" spans="1:2" ht="15">
      <c r="A219" s="253">
        <v>224</v>
      </c>
      <c r="B219" s="590" t="s">
        <v>778</v>
      </c>
    </row>
    <row r="220" spans="1:2" ht="15">
      <c r="A220" s="253">
        <v>225</v>
      </c>
      <c r="B220" s="590" t="s">
        <v>779</v>
      </c>
    </row>
    <row r="221" spans="1:2" ht="15">
      <c r="A221" s="253">
        <v>226</v>
      </c>
      <c r="B221" s="590" t="s">
        <v>780</v>
      </c>
    </row>
    <row r="222" spans="1:2" ht="15">
      <c r="A222" s="253">
        <v>227</v>
      </c>
      <c r="B222" s="590" t="s">
        <v>781</v>
      </c>
    </row>
    <row r="223" spans="1:2" ht="15.75" thickBot="1">
      <c r="A223" s="253">
        <v>228</v>
      </c>
      <c r="B223" s="590" t="s">
        <v>782</v>
      </c>
    </row>
    <row r="224" spans="1:2" ht="16.5" thickBot="1" thickTop="1">
      <c r="A224" s="253">
        <v>229</v>
      </c>
      <c r="B224" s="142" t="s">
        <v>783</v>
      </c>
    </row>
    <row r="225" spans="1:2" ht="15.75" thickBot="1">
      <c r="A225" s="253">
        <v>230</v>
      </c>
      <c r="B225" s="145" t="s">
        <v>328</v>
      </c>
    </row>
    <row r="226" spans="1:2" ht="15.75" thickBot="1">
      <c r="A226" s="253">
        <v>231</v>
      </c>
      <c r="B226" s="145" t="s">
        <v>784</v>
      </c>
    </row>
    <row r="227" spans="1:2" ht="15.75" thickBot="1">
      <c r="A227" s="253">
        <v>232</v>
      </c>
      <c r="B227" s="145" t="s">
        <v>785</v>
      </c>
    </row>
    <row r="228" spans="1:2" ht="15.75" thickBot="1">
      <c r="A228" s="253">
        <v>233</v>
      </c>
      <c r="B228" s="145" t="s">
        <v>786</v>
      </c>
    </row>
    <row r="229" spans="1:2" ht="15.75" thickBot="1">
      <c r="A229" s="253">
        <v>234</v>
      </c>
      <c r="B229" s="145" t="s">
        <v>787</v>
      </c>
    </row>
    <row r="230" spans="1:2" ht="15.75" thickBot="1">
      <c r="A230" s="253">
        <v>235</v>
      </c>
      <c r="B230" s="145" t="s">
        <v>788</v>
      </c>
    </row>
    <row r="231" spans="1:2" ht="15.75" thickBot="1">
      <c r="A231" s="253">
        <v>236</v>
      </c>
      <c r="B231" s="145" t="s">
        <v>789</v>
      </c>
    </row>
    <row r="232" spans="1:2" ht="15.75" thickBot="1">
      <c r="A232" s="253">
        <v>237</v>
      </c>
      <c r="B232" s="145" t="s">
        <v>790</v>
      </c>
    </row>
    <row r="233" spans="1:2" ht="15.75" thickBot="1">
      <c r="A233" s="253">
        <v>238</v>
      </c>
      <c r="B233" s="145" t="s">
        <v>791</v>
      </c>
    </row>
    <row r="234" spans="1:2" ht="15.75" thickBot="1">
      <c r="A234" s="253">
        <v>239</v>
      </c>
      <c r="B234" s="145" t="s">
        <v>792</v>
      </c>
    </row>
    <row r="235" spans="1:2" ht="15.75" thickBot="1">
      <c r="A235" s="253">
        <v>240</v>
      </c>
      <c r="B235" s="145" t="s">
        <v>793</v>
      </c>
    </row>
    <row r="236" spans="1:2" ht="15.75" thickBot="1">
      <c r="A236" s="253">
        <v>241</v>
      </c>
      <c r="B236" s="145" t="s">
        <v>794</v>
      </c>
    </row>
    <row r="237" spans="1:2" ht="15.75" thickBot="1">
      <c r="A237" s="253">
        <v>242</v>
      </c>
      <c r="B237" s="145" t="s">
        <v>795</v>
      </c>
    </row>
    <row r="238" spans="1:2" ht="15.75" thickBot="1">
      <c r="A238" s="253">
        <v>243</v>
      </c>
      <c r="B238" s="145" t="s">
        <v>796</v>
      </c>
    </row>
    <row r="239" spans="1:2" ht="15.75" thickBot="1">
      <c r="A239" s="253">
        <v>244</v>
      </c>
      <c r="B239" s="145" t="s">
        <v>797</v>
      </c>
    </row>
    <row r="240" spans="1:2" ht="15.75" thickBot="1">
      <c r="A240" s="253">
        <v>245</v>
      </c>
      <c r="B240" s="145" t="s">
        <v>798</v>
      </c>
    </row>
    <row r="241" spans="1:2" ht="15.75" thickBot="1">
      <c r="A241" s="253">
        <v>246</v>
      </c>
      <c r="B241" s="145" t="s">
        <v>799</v>
      </c>
    </row>
    <row r="242" spans="1:2" ht="15.75" thickBot="1">
      <c r="A242" s="253">
        <v>247</v>
      </c>
      <c r="B242" s="145" t="s">
        <v>800</v>
      </c>
    </row>
    <row r="243" spans="1:2" ht="15.75" thickBot="1">
      <c r="A243" s="253">
        <v>248</v>
      </c>
      <c r="B243" s="145" t="s">
        <v>801</v>
      </c>
    </row>
    <row r="244" spans="1:2" ht="15.75" thickBot="1">
      <c r="A244" s="253">
        <v>249</v>
      </c>
      <c r="B244" s="145" t="s">
        <v>802</v>
      </c>
    </row>
    <row r="245" spans="1:2" ht="15.75" thickBot="1">
      <c r="A245" s="253">
        <v>250</v>
      </c>
      <c r="B245" s="145" t="s">
        <v>803</v>
      </c>
    </row>
    <row r="246" spans="1:2" ht="15.75" thickBot="1">
      <c r="A246" s="253">
        <v>251</v>
      </c>
      <c r="B246" s="145" t="s">
        <v>329</v>
      </c>
    </row>
    <row r="247" spans="1:2" ht="15.75" thickBot="1">
      <c r="A247" s="253">
        <v>252</v>
      </c>
      <c r="B247" s="145" t="s">
        <v>804</v>
      </c>
    </row>
    <row r="248" spans="1:2" ht="15.75" thickBot="1">
      <c r="A248" s="253">
        <v>253</v>
      </c>
      <c r="B248" s="145" t="s">
        <v>805</v>
      </c>
    </row>
    <row r="249" spans="1:2" ht="15.75" thickBot="1">
      <c r="A249" s="253">
        <v>254</v>
      </c>
      <c r="B249" s="145" t="s">
        <v>806</v>
      </c>
    </row>
    <row r="250" spans="1:2" ht="15.75" thickBot="1">
      <c r="A250" s="253">
        <v>255</v>
      </c>
      <c r="B250" s="148" t="s">
        <v>330</v>
      </c>
    </row>
    <row r="251" spans="1:2" ht="15.75" thickBot="1">
      <c r="A251" s="253">
        <v>256</v>
      </c>
      <c r="B251" s="145" t="s">
        <v>807</v>
      </c>
    </row>
    <row r="252" spans="1:2" ht="15.75" thickBot="1">
      <c r="A252" s="253">
        <v>257</v>
      </c>
      <c r="B252" s="145" t="s">
        <v>808</v>
      </c>
    </row>
    <row r="253" spans="1:2" ht="15.75" thickBot="1">
      <c r="A253" s="253">
        <v>258</v>
      </c>
      <c r="B253" s="145" t="s">
        <v>809</v>
      </c>
    </row>
    <row r="254" spans="1:2" ht="15.75" thickBot="1">
      <c r="A254" s="253">
        <v>259</v>
      </c>
      <c r="B254" s="145" t="s">
        <v>810</v>
      </c>
    </row>
    <row r="255" spans="1:2" ht="15.75" thickBot="1">
      <c r="A255" s="253">
        <v>260</v>
      </c>
      <c r="B255" s="145" t="s">
        <v>811</v>
      </c>
    </row>
    <row r="256" spans="1:2" ht="15.75" thickBot="1">
      <c r="A256" s="253">
        <v>261</v>
      </c>
      <c r="B256" s="145" t="s">
        <v>812</v>
      </c>
    </row>
    <row r="257" spans="1:2" ht="15.75" thickBot="1">
      <c r="A257" s="253">
        <v>262</v>
      </c>
      <c r="B257" s="145" t="s">
        <v>813</v>
      </c>
    </row>
    <row r="258" spans="1:2" ht="15.75" thickBot="1">
      <c r="A258" s="253">
        <v>263</v>
      </c>
      <c r="B258" s="145" t="s">
        <v>814</v>
      </c>
    </row>
    <row r="259" spans="1:2" ht="15.75" thickBot="1">
      <c r="A259" s="253">
        <v>264</v>
      </c>
      <c r="B259" s="145" t="s">
        <v>815</v>
      </c>
    </row>
    <row r="260" spans="1:2" ht="15.75" thickBot="1">
      <c r="A260" s="253">
        <v>265</v>
      </c>
      <c r="B260" s="145" t="s">
        <v>784</v>
      </c>
    </row>
    <row r="261" spans="1:2" ht="15.75" thickBot="1">
      <c r="A261" s="253">
        <v>266</v>
      </c>
      <c r="B261" s="145" t="s">
        <v>816</v>
      </c>
    </row>
    <row r="262" spans="1:2" ht="15.75" thickBot="1">
      <c r="A262" s="253">
        <v>267</v>
      </c>
      <c r="B262" s="145" t="s">
        <v>817</v>
      </c>
    </row>
    <row r="263" spans="1:2" ht="15.75" thickBot="1">
      <c r="A263" s="253">
        <v>268</v>
      </c>
      <c r="B263" s="148" t="s">
        <v>818</v>
      </c>
    </row>
    <row r="264" spans="1:2" ht="15.75" thickBot="1">
      <c r="A264" s="253">
        <v>269</v>
      </c>
      <c r="B264" s="145" t="s">
        <v>819</v>
      </c>
    </row>
    <row r="265" spans="1:2" ht="15.75" thickBot="1">
      <c r="A265" s="253">
        <v>270</v>
      </c>
      <c r="B265" s="145" t="s">
        <v>820</v>
      </c>
    </row>
    <row r="266" spans="1:2" ht="15.75" thickBot="1">
      <c r="A266" s="253">
        <v>271</v>
      </c>
      <c r="B266" s="145" t="s">
        <v>821</v>
      </c>
    </row>
    <row r="267" spans="1:2" ht="15.75" thickBot="1">
      <c r="A267" s="253">
        <v>272</v>
      </c>
      <c r="B267" s="145" t="s">
        <v>822</v>
      </c>
    </row>
    <row r="268" spans="1:2" ht="15.75" thickBot="1">
      <c r="A268" s="253">
        <v>273</v>
      </c>
      <c r="B268" s="145" t="s">
        <v>528</v>
      </c>
    </row>
    <row r="269" spans="1:2" ht="15.75" thickBot="1">
      <c r="A269" s="253">
        <v>274</v>
      </c>
      <c r="B269" s="145" t="s">
        <v>823</v>
      </c>
    </row>
    <row r="270" spans="1:2" ht="15.75" thickBot="1">
      <c r="A270" s="253">
        <v>275</v>
      </c>
      <c r="B270" s="145" t="s">
        <v>824</v>
      </c>
    </row>
    <row r="271" spans="1:2" ht="15.75" thickBot="1">
      <c r="A271" s="253">
        <v>276</v>
      </c>
      <c r="B271" s="145" t="s">
        <v>825</v>
      </c>
    </row>
    <row r="272" spans="1:2" ht="15.75" thickBot="1">
      <c r="A272" s="253">
        <v>277</v>
      </c>
      <c r="B272" s="145" t="s">
        <v>826</v>
      </c>
    </row>
    <row r="273" spans="1:2" ht="15.75" thickBot="1">
      <c r="A273" s="253">
        <v>278</v>
      </c>
      <c r="B273" s="149" t="s">
        <v>827</v>
      </c>
    </row>
    <row r="274" spans="1:2" ht="15.75" thickBot="1">
      <c r="A274" s="253">
        <v>279</v>
      </c>
      <c r="B274" s="145" t="s">
        <v>828</v>
      </c>
    </row>
    <row r="275" spans="1:2" ht="15.75" thickBot="1">
      <c r="A275" s="253">
        <v>280</v>
      </c>
      <c r="B275" s="150" t="s">
        <v>829</v>
      </c>
    </row>
    <row r="276" spans="1:2" ht="15.75" thickBot="1">
      <c r="A276" s="253">
        <v>281</v>
      </c>
      <c r="B276" s="591" t="s">
        <v>830</v>
      </c>
    </row>
    <row r="277" spans="1:2" ht="15.75" thickBot="1">
      <c r="A277" s="253">
        <v>282</v>
      </c>
      <c r="B277" s="255" t="s">
        <v>831</v>
      </c>
    </row>
    <row r="278" spans="1:2" ht="15.75" thickBot="1">
      <c r="A278" s="253">
        <v>283</v>
      </c>
      <c r="B278" s="255" t="s">
        <v>832</v>
      </c>
    </row>
    <row r="279" spans="1:2" ht="15">
      <c r="A279" s="253">
        <v>284</v>
      </c>
      <c r="B279" s="256" t="s">
        <v>833</v>
      </c>
    </row>
    <row r="280" spans="1:2" ht="15">
      <c r="A280" s="253">
        <v>285</v>
      </c>
      <c r="B280" s="257" t="s">
        <v>834</v>
      </c>
    </row>
    <row r="281" spans="1:2" ht="18.75" thickBot="1">
      <c r="A281" s="253">
        <v>287</v>
      </c>
      <c r="B281" s="592" t="s">
        <v>835</v>
      </c>
    </row>
    <row r="282" spans="1:2" ht="15">
      <c r="A282" s="253">
        <v>288</v>
      </c>
      <c r="B282" s="593" t="s">
        <v>836</v>
      </c>
    </row>
    <row r="283" spans="1:2" ht="15.75" thickBot="1">
      <c r="A283" s="253">
        <v>289</v>
      </c>
      <c r="B283" s="594" t="s">
        <v>837</v>
      </c>
    </row>
    <row r="284" spans="1:2" ht="15.75" thickBot="1">
      <c r="A284" s="253">
        <v>290</v>
      </c>
      <c r="B284" s="595" t="s">
        <v>838</v>
      </c>
    </row>
    <row r="285" spans="1:2" ht="15">
      <c r="A285" s="253">
        <v>291</v>
      </c>
      <c r="B285" s="593" t="s">
        <v>839</v>
      </c>
    </row>
    <row r="286" spans="1:2" ht="15.75" thickBot="1">
      <c r="A286" s="253">
        <v>292</v>
      </c>
      <c r="B286" s="594" t="s">
        <v>840</v>
      </c>
    </row>
    <row r="287" spans="1:2" ht="25.5">
      <c r="A287" s="253">
        <v>293</v>
      </c>
      <c r="B287" s="258" t="s">
        <v>841</v>
      </c>
    </row>
    <row r="288" spans="1:2" ht="15">
      <c r="A288" s="253">
        <v>294</v>
      </c>
      <c r="B288" s="259" t="s">
        <v>462</v>
      </c>
    </row>
    <row r="289" spans="1:2" ht="26.25" thickBot="1">
      <c r="A289" s="253">
        <v>295</v>
      </c>
      <c r="B289" s="259" t="s">
        <v>842</v>
      </c>
    </row>
    <row r="290" spans="1:2" ht="15.75" thickBot="1">
      <c r="A290" s="253">
        <v>296</v>
      </c>
      <c r="B290" s="255" t="s">
        <v>843</v>
      </c>
    </row>
    <row r="291" spans="1:2" ht="15.75" thickBot="1">
      <c r="A291" s="253">
        <v>297</v>
      </c>
      <c r="B291" s="255" t="s">
        <v>844</v>
      </c>
    </row>
    <row r="292" spans="1:2" ht="18">
      <c r="A292" s="253">
        <v>298</v>
      </c>
      <c r="B292" s="260" t="s">
        <v>845</v>
      </c>
    </row>
    <row r="293" spans="1:2" ht="15.75">
      <c r="A293" s="253">
        <v>299</v>
      </c>
      <c r="B293" s="250" t="s">
        <v>846</v>
      </c>
    </row>
    <row r="294" spans="1:2" ht="15">
      <c r="A294" s="253">
        <v>301</v>
      </c>
      <c r="B294" s="583" t="s">
        <v>847</v>
      </c>
    </row>
    <row r="295" spans="1:2" ht="15.75">
      <c r="A295" s="253">
        <v>308</v>
      </c>
      <c r="B295" s="250" t="s">
        <v>848</v>
      </c>
    </row>
    <row r="296" spans="1:2" ht="102">
      <c r="A296" s="253">
        <v>309</v>
      </c>
      <c r="B296" s="239" t="s">
        <v>849</v>
      </c>
    </row>
    <row r="297" spans="1:2" ht="76.5">
      <c r="A297" s="253">
        <v>311</v>
      </c>
      <c r="B297" s="239" t="s">
        <v>850</v>
      </c>
    </row>
    <row r="298" spans="1:2" ht="89.25">
      <c r="A298" s="253">
        <v>312</v>
      </c>
      <c r="B298" s="239" t="s">
        <v>851</v>
      </c>
    </row>
    <row r="299" spans="1:2" ht="63.75">
      <c r="A299" s="253">
        <v>313</v>
      </c>
      <c r="B299" s="239" t="s">
        <v>852</v>
      </c>
    </row>
    <row r="300" spans="1:2" ht="25.5">
      <c r="A300" s="253">
        <v>314</v>
      </c>
      <c r="B300" s="239" t="s">
        <v>853</v>
      </c>
    </row>
    <row r="301" spans="1:2" ht="25.5">
      <c r="A301" s="385">
        <v>315</v>
      </c>
      <c r="B301" s="239" t="s">
        <v>854</v>
      </c>
    </row>
    <row r="302" spans="1:2" ht="25.5">
      <c r="A302" s="253">
        <v>316</v>
      </c>
      <c r="B302" s="243" t="s">
        <v>855</v>
      </c>
    </row>
    <row r="303" spans="1:2" ht="25.5">
      <c r="A303" s="253">
        <v>317</v>
      </c>
      <c r="B303" s="243" t="s">
        <v>856</v>
      </c>
    </row>
    <row r="304" spans="1:2" ht="15">
      <c r="A304" s="253">
        <v>320</v>
      </c>
      <c r="B304" s="185" t="s">
        <v>857</v>
      </c>
    </row>
    <row r="305" spans="1:2" ht="25.5">
      <c r="A305" s="253">
        <v>321</v>
      </c>
      <c r="B305" s="237" t="s">
        <v>858</v>
      </c>
    </row>
    <row r="306" spans="1:2" ht="15">
      <c r="A306" s="253">
        <v>322</v>
      </c>
      <c r="B306" s="261" t="s">
        <v>859</v>
      </c>
    </row>
    <row r="307" spans="1:2" ht="15">
      <c r="A307" s="253">
        <v>323</v>
      </c>
      <c r="B307" s="248" t="s">
        <v>860</v>
      </c>
    </row>
    <row r="308" spans="1:2" ht="15">
      <c r="A308" s="253">
        <v>324</v>
      </c>
      <c r="B308" s="262" t="s">
        <v>861</v>
      </c>
    </row>
    <row r="309" spans="1:2" ht="15">
      <c r="A309" s="253">
        <v>325</v>
      </c>
      <c r="B309" s="263" t="s">
        <v>862</v>
      </c>
    </row>
    <row r="310" spans="1:2" ht="15">
      <c r="A310" s="253">
        <v>326</v>
      </c>
      <c r="B310" s="262" t="s">
        <v>863</v>
      </c>
    </row>
    <row r="311" spans="1:2" ht="25.5">
      <c r="A311" s="253">
        <v>327</v>
      </c>
      <c r="B311" s="262" t="s">
        <v>864</v>
      </c>
    </row>
    <row r="312" spans="1:2" ht="15">
      <c r="A312" s="253">
        <v>328</v>
      </c>
      <c r="B312" s="264" t="s">
        <v>865</v>
      </c>
    </row>
    <row r="313" spans="1:2" ht="25.5">
      <c r="A313" s="253">
        <v>329</v>
      </c>
      <c r="B313" s="264" t="s">
        <v>866</v>
      </c>
    </row>
    <row r="314" spans="1:2" ht="25.5">
      <c r="A314" s="253">
        <v>330</v>
      </c>
      <c r="B314" s="262" t="s">
        <v>867</v>
      </c>
    </row>
    <row r="315" spans="1:2" ht="25.5">
      <c r="A315" s="385">
        <v>331</v>
      </c>
      <c r="B315" s="262" t="s">
        <v>868</v>
      </c>
    </row>
    <row r="316" spans="1:2" ht="15">
      <c r="A316" s="253">
        <v>332</v>
      </c>
      <c r="B316" s="262" t="s">
        <v>869</v>
      </c>
    </row>
    <row r="317" spans="1:2" ht="102">
      <c r="A317" s="253">
        <v>333</v>
      </c>
      <c r="B317" s="239" t="s">
        <v>870</v>
      </c>
    </row>
    <row r="318" spans="1:2" ht="89.25">
      <c r="A318" s="253">
        <v>334</v>
      </c>
      <c r="B318" s="239" t="s">
        <v>871</v>
      </c>
    </row>
    <row r="319" spans="1:2" ht="76.5">
      <c r="A319" s="253">
        <v>335</v>
      </c>
      <c r="B319" s="240" t="s">
        <v>872</v>
      </c>
    </row>
    <row r="320" spans="1:2" ht="90" thickBot="1">
      <c r="A320" s="253">
        <v>336</v>
      </c>
      <c r="B320" s="239" t="s">
        <v>873</v>
      </c>
    </row>
    <row r="321" spans="1:2" ht="141" thickBot="1">
      <c r="A321" s="253">
        <v>337</v>
      </c>
      <c r="B321" s="236" t="s">
        <v>874</v>
      </c>
    </row>
    <row r="322" spans="1:2" ht="15.75">
      <c r="A322" s="253">
        <v>338</v>
      </c>
      <c r="B322" s="250" t="s">
        <v>875</v>
      </c>
    </row>
    <row r="323" spans="1:2" ht="25.5">
      <c r="A323" s="253">
        <v>339</v>
      </c>
      <c r="B323" s="238" t="s">
        <v>876</v>
      </c>
    </row>
    <row r="324" spans="1:2" ht="25.5">
      <c r="A324" s="253">
        <v>340</v>
      </c>
      <c r="B324" s="676" t="s">
        <v>2090</v>
      </c>
    </row>
    <row r="325" spans="1:2" ht="15.75">
      <c r="A325" s="253">
        <v>341</v>
      </c>
      <c r="B325" s="241" t="s">
        <v>877</v>
      </c>
    </row>
    <row r="326" spans="1:2" ht="15">
      <c r="A326" s="253">
        <v>342</v>
      </c>
      <c r="B326" s="248" t="s">
        <v>878</v>
      </c>
    </row>
    <row r="327" spans="1:2" ht="15">
      <c r="A327" s="253">
        <v>343</v>
      </c>
      <c r="B327" s="238" t="s">
        <v>879</v>
      </c>
    </row>
    <row r="328" spans="1:2" ht="15">
      <c r="A328" s="253">
        <v>344</v>
      </c>
      <c r="B328" s="249" t="s">
        <v>880</v>
      </c>
    </row>
    <row r="329" spans="1:2" ht="15">
      <c r="A329" s="253">
        <v>345</v>
      </c>
      <c r="B329" s="238" t="s">
        <v>881</v>
      </c>
    </row>
    <row r="330" spans="1:2" ht="15">
      <c r="A330" s="253">
        <v>346</v>
      </c>
      <c r="B330" s="249" t="s">
        <v>77</v>
      </c>
    </row>
    <row r="331" spans="1:2" ht="15">
      <c r="A331" s="253">
        <v>347</v>
      </c>
      <c r="B331" s="248" t="s">
        <v>882</v>
      </c>
    </row>
    <row r="332" spans="1:2" ht="15">
      <c r="A332" s="253">
        <v>348</v>
      </c>
      <c r="B332" s="677" t="s">
        <v>2089</v>
      </c>
    </row>
    <row r="333" spans="1:2" ht="15">
      <c r="A333" s="253">
        <v>349</v>
      </c>
      <c r="B333" s="238" t="s">
        <v>883</v>
      </c>
    </row>
    <row r="334" spans="1:2" ht="15">
      <c r="A334" s="253">
        <v>350</v>
      </c>
      <c r="B334" s="242" t="s">
        <v>884</v>
      </c>
    </row>
    <row r="335" spans="1:2" ht="15.75">
      <c r="A335" s="253">
        <v>351</v>
      </c>
      <c r="B335" s="241" t="s">
        <v>885</v>
      </c>
    </row>
    <row r="336" spans="1:2" ht="15.75" thickBot="1">
      <c r="A336" s="253">
        <v>352</v>
      </c>
      <c r="B336" s="596" t="s">
        <v>886</v>
      </c>
    </row>
    <row r="337" spans="1:2" ht="26.25" thickBot="1">
      <c r="A337" s="253">
        <v>353</v>
      </c>
      <c r="B337" s="265" t="s">
        <v>887</v>
      </c>
    </row>
    <row r="338" spans="1:2" ht="15.75" thickBot="1">
      <c r="A338" s="253">
        <v>354</v>
      </c>
      <c r="B338" s="266" t="s">
        <v>888</v>
      </c>
    </row>
    <row r="339" spans="1:2" ht="15.75" thickBot="1">
      <c r="A339" s="253">
        <v>355</v>
      </c>
      <c r="B339" s="267" t="s">
        <v>889</v>
      </c>
    </row>
    <row r="340" spans="1:2" ht="15.75" thickBot="1">
      <c r="A340" s="253">
        <v>356</v>
      </c>
      <c r="B340" s="267" t="s">
        <v>890</v>
      </c>
    </row>
    <row r="341" spans="1:2" ht="15">
      <c r="A341" s="253">
        <v>357</v>
      </c>
      <c r="B341" s="267" t="s">
        <v>891</v>
      </c>
    </row>
    <row r="342" spans="1:2" ht="15">
      <c r="A342" s="253">
        <v>358</v>
      </c>
      <c r="B342" s="268" t="s">
        <v>892</v>
      </c>
    </row>
    <row r="343" spans="1:2" ht="15">
      <c r="A343" s="253">
        <v>361</v>
      </c>
      <c r="B343" s="269" t="s">
        <v>893</v>
      </c>
    </row>
    <row r="344" spans="1:2" ht="15.75">
      <c r="A344" s="253">
        <v>363</v>
      </c>
      <c r="B344" s="250" t="s">
        <v>894</v>
      </c>
    </row>
    <row r="345" spans="1:2" ht="15">
      <c r="A345" s="253">
        <v>364</v>
      </c>
      <c r="B345" s="270" t="s">
        <v>895</v>
      </c>
    </row>
    <row r="346" spans="1:2" ht="15">
      <c r="A346" s="253">
        <v>365</v>
      </c>
      <c r="B346" s="248" t="s">
        <v>839</v>
      </c>
    </row>
    <row r="347" spans="1:2" ht="22.5">
      <c r="A347" s="385">
        <v>366</v>
      </c>
      <c r="B347" s="244" t="s">
        <v>896</v>
      </c>
    </row>
    <row r="348" spans="1:2" ht="15">
      <c r="A348" s="253">
        <v>367</v>
      </c>
      <c r="B348" s="248" t="s">
        <v>897</v>
      </c>
    </row>
    <row r="349" spans="1:2" ht="15">
      <c r="A349" s="253">
        <v>369</v>
      </c>
      <c r="B349" s="248" t="s">
        <v>898</v>
      </c>
    </row>
    <row r="350" spans="1:2" ht="15">
      <c r="A350" s="253">
        <v>370</v>
      </c>
      <c r="B350" s="248" t="s">
        <v>899</v>
      </c>
    </row>
    <row r="351" spans="1:2" ht="22.5">
      <c r="A351" s="253">
        <v>373</v>
      </c>
      <c r="B351" s="244" t="s">
        <v>900</v>
      </c>
    </row>
    <row r="352" spans="1:2" ht="15">
      <c r="A352" s="385">
        <v>374</v>
      </c>
      <c r="B352" s="248" t="s">
        <v>901</v>
      </c>
    </row>
    <row r="353" spans="1:2" ht="22.5">
      <c r="A353" s="385">
        <v>375</v>
      </c>
      <c r="B353" s="244" t="s">
        <v>902</v>
      </c>
    </row>
    <row r="354" spans="1:2" ht="15">
      <c r="A354" s="253">
        <v>377</v>
      </c>
      <c r="B354" s="248" t="s">
        <v>903</v>
      </c>
    </row>
    <row r="355" spans="1:2" ht="15">
      <c r="A355" s="253">
        <v>378</v>
      </c>
      <c r="B355" s="258">
        <v>0</v>
      </c>
    </row>
    <row r="356" spans="1:2" ht="15">
      <c r="A356" s="253">
        <v>379</v>
      </c>
      <c r="B356" s="244">
        <v>0</v>
      </c>
    </row>
    <row r="357" spans="1:2" ht="15">
      <c r="A357" s="253">
        <v>380</v>
      </c>
      <c r="B357" s="244">
        <v>0</v>
      </c>
    </row>
    <row r="358" spans="1:2" ht="15">
      <c r="A358" s="253">
        <v>381</v>
      </c>
      <c r="B358" s="271">
        <v>0</v>
      </c>
    </row>
    <row r="359" spans="1:2" ht="15">
      <c r="A359" s="253">
        <v>382</v>
      </c>
      <c r="B359" s="251">
        <v>0</v>
      </c>
    </row>
    <row r="360" spans="1:2" ht="15">
      <c r="A360" s="253">
        <v>383</v>
      </c>
      <c r="B360" s="272">
        <v>0</v>
      </c>
    </row>
    <row r="361" spans="1:2" ht="15">
      <c r="A361" s="253">
        <v>384</v>
      </c>
      <c r="B361" s="273">
        <v>0</v>
      </c>
    </row>
    <row r="362" spans="1:2" ht="15">
      <c r="A362" s="253">
        <v>385</v>
      </c>
      <c r="B362" s="251">
        <v>0</v>
      </c>
    </row>
    <row r="363" spans="1:2" ht="15">
      <c r="A363" s="253">
        <v>398</v>
      </c>
      <c r="B363" s="248" t="s">
        <v>904</v>
      </c>
    </row>
    <row r="364" spans="1:2" ht="33.75">
      <c r="A364" s="253">
        <v>399</v>
      </c>
      <c r="B364" s="244" t="s">
        <v>905</v>
      </c>
    </row>
    <row r="365" spans="1:2" ht="15">
      <c r="A365" s="253">
        <v>400</v>
      </c>
      <c r="B365" s="272" t="s">
        <v>906</v>
      </c>
    </row>
    <row r="366" spans="1:2" ht="15">
      <c r="A366" s="253">
        <v>401</v>
      </c>
      <c r="B366" s="274" t="s">
        <v>907</v>
      </c>
    </row>
    <row r="367" spans="1:2" ht="15">
      <c r="A367" s="253">
        <v>402</v>
      </c>
      <c r="B367" s="274" t="s">
        <v>908</v>
      </c>
    </row>
    <row r="368" spans="1:2" ht="15">
      <c r="A368" s="253">
        <v>403</v>
      </c>
      <c r="B368" s="274" t="s">
        <v>909</v>
      </c>
    </row>
    <row r="369" spans="1:2" ht="15">
      <c r="A369" s="253">
        <v>404</v>
      </c>
      <c r="B369" s="274">
        <v>0</v>
      </c>
    </row>
    <row r="370" spans="1:2" ht="15">
      <c r="A370" s="253">
        <v>405</v>
      </c>
      <c r="B370" s="274" t="s">
        <v>910</v>
      </c>
    </row>
    <row r="371" spans="1:2" ht="15">
      <c r="A371" s="253">
        <v>406</v>
      </c>
      <c r="B371" s="274" t="s">
        <v>911</v>
      </c>
    </row>
    <row r="372" spans="1:2" ht="15">
      <c r="A372" s="253">
        <v>407</v>
      </c>
      <c r="B372" s="274" t="s">
        <v>912</v>
      </c>
    </row>
    <row r="373" spans="1:2" ht="15">
      <c r="A373" s="253">
        <v>408</v>
      </c>
      <c r="B373" s="273" t="s">
        <v>913</v>
      </c>
    </row>
    <row r="374" spans="1:2" ht="15">
      <c r="A374" s="253">
        <v>409</v>
      </c>
      <c r="B374" s="248" t="s">
        <v>914</v>
      </c>
    </row>
    <row r="375" spans="1:2" ht="15">
      <c r="A375" s="253">
        <v>410</v>
      </c>
      <c r="B375" s="270" t="s">
        <v>915</v>
      </c>
    </row>
    <row r="376" spans="1:2" ht="22.5">
      <c r="A376" s="253">
        <v>411</v>
      </c>
      <c r="B376" s="244" t="s">
        <v>916</v>
      </c>
    </row>
    <row r="377" spans="1:2" ht="25.5">
      <c r="A377" s="253">
        <v>412</v>
      </c>
      <c r="B377" s="248" t="s">
        <v>917</v>
      </c>
    </row>
    <row r="378" spans="1:2" ht="15">
      <c r="A378" s="253">
        <v>413</v>
      </c>
      <c r="B378" s="272" t="s">
        <v>918</v>
      </c>
    </row>
    <row r="379" spans="1:2" ht="15">
      <c r="A379" s="253">
        <v>414</v>
      </c>
      <c r="B379" s="248" t="s">
        <v>919</v>
      </c>
    </row>
    <row r="380" spans="1:2" ht="15">
      <c r="A380" s="253">
        <v>417</v>
      </c>
      <c r="B380" s="276" t="s">
        <v>920</v>
      </c>
    </row>
    <row r="381" spans="1:2" ht="15">
      <c r="A381" s="253">
        <v>418</v>
      </c>
      <c r="B381" s="277" t="s">
        <v>921</v>
      </c>
    </row>
    <row r="382" spans="1:2" ht="15">
      <c r="A382" s="253">
        <v>419</v>
      </c>
      <c r="B382" s="278" t="s">
        <v>922</v>
      </c>
    </row>
    <row r="383" spans="1:2" ht="22.5">
      <c r="A383" s="253">
        <v>420</v>
      </c>
      <c r="B383" s="244" t="s">
        <v>923</v>
      </c>
    </row>
    <row r="384" spans="1:2" ht="15">
      <c r="A384" s="253">
        <v>421</v>
      </c>
      <c r="B384" s="277" t="s">
        <v>911</v>
      </c>
    </row>
    <row r="385" spans="1:2" ht="15">
      <c r="A385" s="253">
        <v>422</v>
      </c>
      <c r="B385" s="277" t="s">
        <v>924</v>
      </c>
    </row>
    <row r="386" spans="1:2" ht="15">
      <c r="A386" s="253">
        <v>423</v>
      </c>
      <c r="B386" s="278" t="s">
        <v>925</v>
      </c>
    </row>
    <row r="387" spans="1:2" ht="33.75">
      <c r="A387" s="253">
        <v>424</v>
      </c>
      <c r="B387" s="244" t="s">
        <v>926</v>
      </c>
    </row>
    <row r="388" spans="1:2" ht="22.5">
      <c r="A388" s="253">
        <v>425</v>
      </c>
      <c r="B388" s="244" t="s">
        <v>927</v>
      </c>
    </row>
    <row r="389" spans="1:2" ht="15">
      <c r="A389" s="253">
        <v>426</v>
      </c>
      <c r="B389" s="276" t="s">
        <v>928</v>
      </c>
    </row>
    <row r="390" spans="1:2" ht="15">
      <c r="A390" s="253">
        <v>427</v>
      </c>
      <c r="B390" s="279" t="s">
        <v>929</v>
      </c>
    </row>
    <row r="391" spans="1:2" ht="15">
      <c r="A391" s="253">
        <v>428</v>
      </c>
      <c r="B391" s="270" t="s">
        <v>930</v>
      </c>
    </row>
    <row r="392" spans="1:2" ht="15">
      <c r="A392" s="253">
        <v>429</v>
      </c>
      <c r="B392" s="248" t="s">
        <v>931</v>
      </c>
    </row>
    <row r="393" spans="1:2" ht="22.5">
      <c r="A393" s="253">
        <v>431</v>
      </c>
      <c r="B393" s="244" t="s">
        <v>932</v>
      </c>
    </row>
    <row r="394" spans="1:2" ht="15">
      <c r="A394" s="253">
        <v>432</v>
      </c>
      <c r="B394" s="109">
        <v>0</v>
      </c>
    </row>
    <row r="395" spans="1:2" ht="15">
      <c r="A395" s="253">
        <v>433</v>
      </c>
      <c r="B395" s="22" t="s">
        <v>933</v>
      </c>
    </row>
    <row r="396" spans="1:2" ht="25.5">
      <c r="A396" s="253">
        <v>434</v>
      </c>
      <c r="B396" s="248" t="s">
        <v>934</v>
      </c>
    </row>
    <row r="397" spans="1:2" ht="15">
      <c r="A397" s="253">
        <v>435</v>
      </c>
      <c r="B397" s="244" t="s">
        <v>935</v>
      </c>
    </row>
    <row r="398" spans="1:2" ht="15">
      <c r="A398" s="253">
        <v>436</v>
      </c>
      <c r="B398" s="244" t="s">
        <v>936</v>
      </c>
    </row>
    <row r="399" spans="1:2" ht="22.5">
      <c r="A399" s="253">
        <v>437</v>
      </c>
      <c r="B399" s="247" t="s">
        <v>937</v>
      </c>
    </row>
    <row r="400" spans="1:2" ht="15">
      <c r="A400" s="253">
        <v>438</v>
      </c>
      <c r="B400" s="244" t="s">
        <v>938</v>
      </c>
    </row>
    <row r="401" spans="1:2" ht="22.5">
      <c r="A401" s="253">
        <v>439</v>
      </c>
      <c r="B401" s="247" t="s">
        <v>939</v>
      </c>
    </row>
    <row r="402" spans="1:2" ht="15">
      <c r="A402" s="253">
        <v>440</v>
      </c>
      <c r="B402" s="245" t="s">
        <v>940</v>
      </c>
    </row>
    <row r="403" spans="1:2" ht="15">
      <c r="A403" s="253">
        <v>441</v>
      </c>
      <c r="B403" s="244" t="s">
        <v>941</v>
      </c>
    </row>
    <row r="404" spans="1:2" ht="15">
      <c r="A404" s="253">
        <v>442</v>
      </c>
      <c r="B404" s="271" t="s">
        <v>942</v>
      </c>
    </row>
    <row r="405" spans="1:2" ht="15">
      <c r="A405" s="253">
        <v>443</v>
      </c>
      <c r="B405" s="271" t="s">
        <v>943</v>
      </c>
    </row>
    <row r="406" spans="1:2" ht="15">
      <c r="A406" s="253">
        <v>444</v>
      </c>
      <c r="B406" s="248">
        <v>0</v>
      </c>
    </row>
    <row r="407" spans="1:2" ht="15">
      <c r="A407" s="253">
        <v>445</v>
      </c>
      <c r="B407" s="244">
        <v>0</v>
      </c>
    </row>
    <row r="408" spans="1:2" ht="15">
      <c r="A408" s="253">
        <v>446</v>
      </c>
      <c r="B408" s="244">
        <v>0</v>
      </c>
    </row>
    <row r="409" spans="1:2" ht="15">
      <c r="A409" s="253">
        <v>452</v>
      </c>
      <c r="B409" s="270" t="s">
        <v>944</v>
      </c>
    </row>
    <row r="410" spans="1:2" ht="25.5">
      <c r="A410" s="253">
        <v>453</v>
      </c>
      <c r="B410" s="248" t="s">
        <v>945</v>
      </c>
    </row>
    <row r="411" spans="1:2" ht="45">
      <c r="A411" s="253">
        <v>454</v>
      </c>
      <c r="B411" s="244" t="s">
        <v>946</v>
      </c>
    </row>
    <row r="412" spans="1:2" ht="33.75">
      <c r="A412" s="253">
        <v>455</v>
      </c>
      <c r="B412" s="244" t="s">
        <v>947</v>
      </c>
    </row>
    <row r="413" spans="1:2" ht="25.5">
      <c r="A413" s="253">
        <v>456</v>
      </c>
      <c r="B413" s="248" t="s">
        <v>948</v>
      </c>
    </row>
    <row r="414" spans="1:2" ht="25.5">
      <c r="A414" s="253">
        <v>457</v>
      </c>
      <c r="B414" s="248" t="s">
        <v>949</v>
      </c>
    </row>
    <row r="415" spans="1:2" ht="22.5">
      <c r="A415" s="253">
        <v>458</v>
      </c>
      <c r="B415" s="244" t="s">
        <v>950</v>
      </c>
    </row>
    <row r="416" spans="1:2" ht="15">
      <c r="A416" s="253">
        <v>460</v>
      </c>
      <c r="B416" s="248" t="s">
        <v>951</v>
      </c>
    </row>
    <row r="417" spans="1:2" ht="25.5">
      <c r="A417" s="253">
        <v>465</v>
      </c>
      <c r="B417" s="246" t="s">
        <v>952</v>
      </c>
    </row>
    <row r="418" spans="1:2" ht="15">
      <c r="A418" s="253">
        <v>467</v>
      </c>
      <c r="B418" s="258" t="s">
        <v>953</v>
      </c>
    </row>
    <row r="419" spans="1:2" ht="76.5">
      <c r="A419" s="253">
        <v>468</v>
      </c>
      <c r="B419" s="246" t="s">
        <v>954</v>
      </c>
    </row>
    <row r="420" spans="1:2" ht="15">
      <c r="A420" s="253">
        <v>469</v>
      </c>
      <c r="B420" s="280" t="s">
        <v>955</v>
      </c>
    </row>
    <row r="421" spans="1:2" ht="25.5">
      <c r="A421" s="253">
        <v>470</v>
      </c>
      <c r="B421" s="258" t="s">
        <v>956</v>
      </c>
    </row>
    <row r="422" spans="1:2" ht="15">
      <c r="A422" s="253">
        <v>484</v>
      </c>
      <c r="B422" s="248" t="s">
        <v>957</v>
      </c>
    </row>
    <row r="423" spans="1:2" ht="22.5">
      <c r="A423" s="253">
        <v>485</v>
      </c>
      <c r="B423" s="244" t="s">
        <v>958</v>
      </c>
    </row>
    <row r="424" spans="1:2" ht="15">
      <c r="A424" s="253">
        <v>486</v>
      </c>
      <c r="B424" s="244" t="s">
        <v>487</v>
      </c>
    </row>
    <row r="425" spans="1:2" ht="33.75">
      <c r="A425" s="253">
        <v>487</v>
      </c>
      <c r="B425" s="244" t="s">
        <v>959</v>
      </c>
    </row>
    <row r="426" spans="1:2" ht="15">
      <c r="A426" s="253">
        <v>488</v>
      </c>
      <c r="B426" s="244" t="s">
        <v>960</v>
      </c>
    </row>
    <row r="427" spans="1:2" ht="22.5">
      <c r="A427" s="253">
        <v>489</v>
      </c>
      <c r="B427" s="244" t="s">
        <v>961</v>
      </c>
    </row>
    <row r="428" spans="1:2" ht="15">
      <c r="A428" s="253">
        <v>490</v>
      </c>
      <c r="B428" s="248" t="s">
        <v>962</v>
      </c>
    </row>
    <row r="429" spans="1:2" ht="15">
      <c r="A429" s="253">
        <v>497</v>
      </c>
      <c r="B429" s="245" t="s">
        <v>963</v>
      </c>
    </row>
    <row r="430" spans="1:2" ht="22.5">
      <c r="A430" s="253">
        <v>509</v>
      </c>
      <c r="B430" s="244" t="s">
        <v>964</v>
      </c>
    </row>
    <row r="431" spans="1:2" ht="22.5">
      <c r="A431" s="253">
        <v>511</v>
      </c>
      <c r="B431" s="244" t="s">
        <v>965</v>
      </c>
    </row>
    <row r="432" spans="1:2" ht="15">
      <c r="A432" s="253">
        <v>514</v>
      </c>
      <c r="B432" s="281" t="s">
        <v>966</v>
      </c>
    </row>
    <row r="433" spans="1:2" ht="15">
      <c r="A433" s="253">
        <v>516</v>
      </c>
      <c r="B433" s="282" t="s">
        <v>967</v>
      </c>
    </row>
    <row r="434" spans="1:2" ht="22.5">
      <c r="A434" s="253">
        <v>520</v>
      </c>
      <c r="B434" s="244" t="s">
        <v>968</v>
      </c>
    </row>
    <row r="435" spans="1:2" ht="45">
      <c r="A435" s="253">
        <v>526</v>
      </c>
      <c r="B435" s="270" t="s">
        <v>969</v>
      </c>
    </row>
    <row r="436" spans="1:2" ht="22.5">
      <c r="A436" s="253">
        <v>530</v>
      </c>
      <c r="B436" s="244" t="s">
        <v>970</v>
      </c>
    </row>
    <row r="437" spans="1:2" ht="90">
      <c r="A437" s="253">
        <v>531</v>
      </c>
      <c r="B437" s="244" t="s">
        <v>971</v>
      </c>
    </row>
    <row r="438" spans="1:2" ht="25.5">
      <c r="A438" s="253">
        <v>534</v>
      </c>
      <c r="B438" s="248" t="s">
        <v>972</v>
      </c>
    </row>
    <row r="439" spans="1:2" ht="22.5">
      <c r="A439" s="253">
        <v>535</v>
      </c>
      <c r="B439" s="244" t="s">
        <v>973</v>
      </c>
    </row>
    <row r="440" spans="1:2" ht="15">
      <c r="A440" s="253">
        <v>537</v>
      </c>
      <c r="B440" s="283" t="s">
        <v>974</v>
      </c>
    </row>
    <row r="441" spans="1:2" ht="15">
      <c r="A441" s="253">
        <v>539</v>
      </c>
      <c r="B441" s="248" t="s">
        <v>975</v>
      </c>
    </row>
    <row r="442" spans="1:2" ht="15.75">
      <c r="A442" s="253">
        <v>551</v>
      </c>
      <c r="B442" s="250" t="s">
        <v>976</v>
      </c>
    </row>
    <row r="443" spans="1:2" ht="25.5">
      <c r="A443" s="253">
        <v>552</v>
      </c>
      <c r="B443" s="248" t="s">
        <v>977</v>
      </c>
    </row>
    <row r="444" spans="1:2" ht="22.5">
      <c r="A444" s="253">
        <v>553</v>
      </c>
      <c r="B444" s="244" t="s">
        <v>978</v>
      </c>
    </row>
    <row r="445" spans="1:2" ht="22.5">
      <c r="A445" s="253">
        <v>554</v>
      </c>
      <c r="B445" s="244" t="s">
        <v>979</v>
      </c>
    </row>
    <row r="446" spans="1:2" ht="33.75">
      <c r="A446" s="253">
        <v>555</v>
      </c>
      <c r="B446" s="244" t="s">
        <v>980</v>
      </c>
    </row>
    <row r="447" spans="1:2" ht="22.5">
      <c r="A447" s="253">
        <v>556</v>
      </c>
      <c r="B447" s="244" t="s">
        <v>981</v>
      </c>
    </row>
    <row r="448" spans="1:2" ht="15">
      <c r="A448" s="253">
        <v>557</v>
      </c>
      <c r="B448" s="244" t="s">
        <v>982</v>
      </c>
    </row>
    <row r="449" spans="1:2" ht="15">
      <c r="A449" s="253">
        <v>558</v>
      </c>
      <c r="B449" s="245" t="s">
        <v>983</v>
      </c>
    </row>
    <row r="450" spans="1:2" ht="22.5">
      <c r="A450" s="253">
        <v>559</v>
      </c>
      <c r="B450" s="244" t="s">
        <v>984</v>
      </c>
    </row>
    <row r="451" spans="1:2" ht="22.5">
      <c r="A451" s="253">
        <v>560</v>
      </c>
      <c r="B451" s="244" t="s">
        <v>985</v>
      </c>
    </row>
    <row r="452" spans="1:2" ht="22.5">
      <c r="A452" s="253">
        <v>561</v>
      </c>
      <c r="B452" s="244" t="s">
        <v>986</v>
      </c>
    </row>
    <row r="453" spans="1:2" ht="15">
      <c r="A453" s="253">
        <v>562</v>
      </c>
      <c r="B453" s="244" t="s">
        <v>987</v>
      </c>
    </row>
    <row r="454" spans="1:2" ht="22.5">
      <c r="A454" s="253">
        <v>563</v>
      </c>
      <c r="B454" s="244" t="s">
        <v>988</v>
      </c>
    </row>
    <row r="455" spans="1:2" ht="15">
      <c r="A455" s="253">
        <v>564</v>
      </c>
      <c r="B455" s="244" t="s">
        <v>989</v>
      </c>
    </row>
    <row r="456" spans="1:2" ht="15">
      <c r="A456" s="253">
        <v>565</v>
      </c>
      <c r="B456" s="244" t="s">
        <v>990</v>
      </c>
    </row>
    <row r="457" spans="1:2" ht="15">
      <c r="A457" s="253">
        <v>566</v>
      </c>
      <c r="B457" s="282" t="s">
        <v>991</v>
      </c>
    </row>
    <row r="458" spans="1:2" ht="15">
      <c r="A458" s="253">
        <v>567</v>
      </c>
      <c r="B458" s="282" t="s">
        <v>992</v>
      </c>
    </row>
    <row r="459" spans="1:2" ht="15">
      <c r="A459" s="253">
        <v>568</v>
      </c>
      <c r="B459" s="282" t="s">
        <v>993</v>
      </c>
    </row>
    <row r="460" spans="1:2" ht="15">
      <c r="A460" s="253">
        <v>569</v>
      </c>
      <c r="B460" s="282" t="s">
        <v>994</v>
      </c>
    </row>
    <row r="461" spans="1:2" ht="25.5">
      <c r="A461" s="253">
        <v>570</v>
      </c>
      <c r="B461" s="248" t="s">
        <v>995</v>
      </c>
    </row>
    <row r="462" spans="1:2" ht="15">
      <c r="A462" s="253">
        <v>572</v>
      </c>
      <c r="B462" s="244">
        <v>0</v>
      </c>
    </row>
    <row r="463" spans="1:2" ht="22.5">
      <c r="A463" s="253">
        <v>573</v>
      </c>
      <c r="B463" s="244" t="s">
        <v>996</v>
      </c>
    </row>
    <row r="464" spans="1:2" ht="15">
      <c r="A464" s="253">
        <v>574</v>
      </c>
      <c r="B464" s="282" t="s">
        <v>997</v>
      </c>
    </row>
    <row r="465" spans="1:2" ht="15">
      <c r="A465" s="253">
        <v>575</v>
      </c>
      <c r="B465" s="282" t="s">
        <v>998</v>
      </c>
    </row>
    <row r="466" spans="1:2" ht="15">
      <c r="A466" s="253">
        <v>576</v>
      </c>
      <c r="B466" s="284" t="s">
        <v>999</v>
      </c>
    </row>
    <row r="467" spans="1:2" ht="15">
      <c r="A467" s="253">
        <v>577</v>
      </c>
      <c r="B467" s="282" t="s">
        <v>1000</v>
      </c>
    </row>
    <row r="468" spans="1:2" ht="15.75" thickBot="1">
      <c r="A468" s="253">
        <v>635</v>
      </c>
      <c r="B468" s="286" t="s">
        <v>1001</v>
      </c>
    </row>
    <row r="469" spans="1:2" ht="15.75" thickBot="1">
      <c r="A469" s="253">
        <v>656</v>
      </c>
      <c r="B469" s="267" t="s">
        <v>80</v>
      </c>
    </row>
    <row r="470" spans="1:2" ht="26.25" thickBot="1">
      <c r="A470" s="253">
        <v>722</v>
      </c>
      <c r="B470" s="265" t="s">
        <v>1002</v>
      </c>
    </row>
    <row r="471" spans="1:2" ht="15.75" thickBot="1">
      <c r="A471" s="253">
        <v>723</v>
      </c>
      <c r="B471" s="266" t="s">
        <v>1003</v>
      </c>
    </row>
    <row r="472" spans="1:2" ht="15">
      <c r="A472" s="253">
        <v>724</v>
      </c>
      <c r="B472" s="267" t="s">
        <v>1004</v>
      </c>
    </row>
    <row r="473" spans="1:2" ht="15">
      <c r="A473" s="253">
        <v>726</v>
      </c>
      <c r="B473" s="268" t="s">
        <v>1005</v>
      </c>
    </row>
    <row r="474" spans="1:2" ht="15">
      <c r="A474" s="253">
        <v>727</v>
      </c>
      <c r="B474" s="269" t="s">
        <v>1006</v>
      </c>
    </row>
    <row r="475" spans="1:2" ht="36">
      <c r="A475" s="253">
        <v>728</v>
      </c>
      <c r="B475" s="260" t="s">
        <v>1007</v>
      </c>
    </row>
    <row r="476" spans="1:2" ht="31.5">
      <c r="A476" s="253">
        <v>729</v>
      </c>
      <c r="B476" s="250" t="s">
        <v>1008</v>
      </c>
    </row>
    <row r="477" spans="1:2" ht="15">
      <c r="A477" s="253">
        <v>734</v>
      </c>
      <c r="B477" s="251" t="s">
        <v>1009</v>
      </c>
    </row>
    <row r="478" spans="1:2" ht="15">
      <c r="A478" s="253">
        <v>735</v>
      </c>
      <c r="B478" s="276" t="s">
        <v>1010</v>
      </c>
    </row>
    <row r="479" spans="1:2" ht="15">
      <c r="A479" s="253">
        <v>736</v>
      </c>
      <c r="B479" s="277" t="s">
        <v>1011</v>
      </c>
    </row>
    <row r="480" spans="1:2" ht="15">
      <c r="A480" s="253">
        <v>737</v>
      </c>
      <c r="B480" s="279" t="s">
        <v>1012</v>
      </c>
    </row>
    <row r="481" spans="1:2" ht="15">
      <c r="A481" s="253">
        <v>738</v>
      </c>
      <c r="B481" s="287" t="s">
        <v>1013</v>
      </c>
    </row>
    <row r="482" spans="1:2" ht="15">
      <c r="A482" s="253">
        <v>739</v>
      </c>
      <c r="B482" s="287" t="s">
        <v>1014</v>
      </c>
    </row>
    <row r="483" spans="1:2" ht="30">
      <c r="A483" s="253">
        <v>742</v>
      </c>
      <c r="B483" s="270" t="s">
        <v>1015</v>
      </c>
    </row>
    <row r="484" spans="1:2" ht="15.75">
      <c r="A484" s="253">
        <v>746</v>
      </c>
      <c r="B484" s="250" t="s">
        <v>1016</v>
      </c>
    </row>
    <row r="485" spans="1:2" ht="15">
      <c r="A485" s="253">
        <v>749</v>
      </c>
      <c r="B485" s="270" t="s">
        <v>1017</v>
      </c>
    </row>
    <row r="486" spans="1:2" ht="21">
      <c r="A486" s="253">
        <v>750</v>
      </c>
      <c r="B486" s="245" t="s">
        <v>1018</v>
      </c>
    </row>
    <row r="487" spans="1:2" ht="15">
      <c r="A487" s="253">
        <v>751</v>
      </c>
      <c r="B487" s="248" t="s">
        <v>1019</v>
      </c>
    </row>
    <row r="488" spans="1:2" ht="22.5">
      <c r="A488" s="253">
        <v>752</v>
      </c>
      <c r="B488" s="244" t="s">
        <v>1020</v>
      </c>
    </row>
    <row r="489" spans="1:2" ht="22.5">
      <c r="A489" s="253">
        <v>753</v>
      </c>
      <c r="B489" s="244" t="s">
        <v>1021</v>
      </c>
    </row>
    <row r="490" spans="1:2" ht="15">
      <c r="A490" s="253">
        <v>754</v>
      </c>
      <c r="B490" s="248" t="s">
        <v>1022</v>
      </c>
    </row>
    <row r="491" spans="1:2" ht="22.5">
      <c r="A491" s="253">
        <v>755</v>
      </c>
      <c r="B491" s="244" t="s">
        <v>1023</v>
      </c>
    </row>
    <row r="492" spans="1:2" ht="15">
      <c r="A492" s="253">
        <v>757</v>
      </c>
      <c r="B492" s="245" t="s">
        <v>1024</v>
      </c>
    </row>
    <row r="493" spans="1:2" ht="22.5">
      <c r="A493" s="253">
        <v>758</v>
      </c>
      <c r="B493" s="244" t="s">
        <v>1025</v>
      </c>
    </row>
    <row r="494" spans="1:2" ht="33.75">
      <c r="A494" s="253">
        <v>759</v>
      </c>
      <c r="B494" s="244" t="s">
        <v>1026</v>
      </c>
    </row>
    <row r="495" spans="1:2" ht="31.5">
      <c r="A495" s="253">
        <v>762</v>
      </c>
      <c r="B495" s="245" t="s">
        <v>1027</v>
      </c>
    </row>
    <row r="496" spans="1:2" ht="15">
      <c r="A496" s="253">
        <v>763</v>
      </c>
      <c r="B496" s="276" t="s">
        <v>1028</v>
      </c>
    </row>
    <row r="497" spans="1:2" ht="15">
      <c r="A497" s="253">
        <v>764</v>
      </c>
      <c r="B497" s="277" t="s">
        <v>1029</v>
      </c>
    </row>
    <row r="498" spans="1:2" ht="15.75" thickBot="1">
      <c r="A498" s="253">
        <v>765</v>
      </c>
      <c r="B498" s="597" t="s">
        <v>1030</v>
      </c>
    </row>
    <row r="499" spans="1:2" ht="15">
      <c r="A499" s="253">
        <v>766</v>
      </c>
      <c r="B499" s="289" t="s">
        <v>1031</v>
      </c>
    </row>
    <row r="500" spans="1:2" ht="15">
      <c r="A500" s="253">
        <v>767</v>
      </c>
      <c r="B500" s="598" t="s">
        <v>1032</v>
      </c>
    </row>
    <row r="501" spans="1:2" ht="15.75">
      <c r="A501" s="253">
        <v>777</v>
      </c>
      <c r="B501" s="250" t="s">
        <v>1033</v>
      </c>
    </row>
    <row r="502" spans="1:2" ht="33.75">
      <c r="A502" s="253">
        <v>778</v>
      </c>
      <c r="B502" s="244" t="s">
        <v>1034</v>
      </c>
    </row>
    <row r="503" spans="1:2" ht="33.75">
      <c r="A503" s="253">
        <v>779</v>
      </c>
      <c r="B503" s="244" t="s">
        <v>1035</v>
      </c>
    </row>
    <row r="504" spans="1:2" ht="22.5">
      <c r="A504" s="253">
        <v>780</v>
      </c>
      <c r="B504" s="244" t="s">
        <v>1036</v>
      </c>
    </row>
    <row r="505" spans="1:2" ht="22.5">
      <c r="A505" s="253">
        <v>781</v>
      </c>
      <c r="B505" s="244" t="s">
        <v>1037</v>
      </c>
    </row>
    <row r="506" spans="1:2" ht="33.75">
      <c r="A506" s="253">
        <v>782</v>
      </c>
      <c r="B506" s="244" t="s">
        <v>1038</v>
      </c>
    </row>
    <row r="507" spans="1:2" ht="22.5">
      <c r="A507" s="253">
        <v>783</v>
      </c>
      <c r="B507" s="244" t="s">
        <v>1039</v>
      </c>
    </row>
    <row r="508" spans="1:2" ht="15">
      <c r="A508" s="253">
        <v>784</v>
      </c>
      <c r="B508" s="244" t="s">
        <v>1040</v>
      </c>
    </row>
    <row r="509" spans="1:2" ht="45">
      <c r="A509" s="253">
        <v>785</v>
      </c>
      <c r="B509" s="244" t="s">
        <v>1041</v>
      </c>
    </row>
    <row r="510" spans="1:2" ht="15">
      <c r="A510" s="253">
        <v>786</v>
      </c>
      <c r="B510" s="244" t="s">
        <v>1042</v>
      </c>
    </row>
    <row r="511" spans="1:2" ht="45">
      <c r="A511" s="253">
        <v>787</v>
      </c>
      <c r="B511" s="270" t="s">
        <v>1043</v>
      </c>
    </row>
    <row r="512" spans="1:2" ht="25.5">
      <c r="A512" s="253">
        <v>788</v>
      </c>
      <c r="B512" s="248" t="s">
        <v>1044</v>
      </c>
    </row>
    <row r="513" spans="1:2" ht="22.5">
      <c r="A513" s="253">
        <v>789</v>
      </c>
      <c r="B513" s="244" t="s">
        <v>1045</v>
      </c>
    </row>
    <row r="514" spans="1:2" ht="33.75">
      <c r="A514" s="253">
        <v>790</v>
      </c>
      <c r="B514" s="244" t="s">
        <v>1046</v>
      </c>
    </row>
    <row r="515" spans="1:2" ht="22.5">
      <c r="A515" s="253">
        <v>791</v>
      </c>
      <c r="B515" s="244" t="s">
        <v>1047</v>
      </c>
    </row>
    <row r="516" spans="1:2" ht="25.5">
      <c r="A516" s="253">
        <v>792</v>
      </c>
      <c r="B516" s="248" t="s">
        <v>1048</v>
      </c>
    </row>
    <row r="517" spans="1:2" ht="15">
      <c r="A517" s="253">
        <v>793</v>
      </c>
      <c r="B517" s="248" t="s">
        <v>1049</v>
      </c>
    </row>
    <row r="518" spans="1:2" ht="22.5">
      <c r="A518" s="253">
        <v>794</v>
      </c>
      <c r="B518" s="244" t="s">
        <v>1050</v>
      </c>
    </row>
    <row r="519" spans="1:2" ht="22.5">
      <c r="A519" s="253">
        <v>795</v>
      </c>
      <c r="B519" s="263" t="s">
        <v>1051</v>
      </c>
    </row>
    <row r="520" spans="1:2" ht="25.5">
      <c r="A520" s="253">
        <v>796</v>
      </c>
      <c r="B520" s="248" t="s">
        <v>1052</v>
      </c>
    </row>
    <row r="521" spans="1:2" ht="22.5">
      <c r="A521" s="253">
        <v>797</v>
      </c>
      <c r="B521" s="244" t="s">
        <v>1053</v>
      </c>
    </row>
    <row r="522" spans="1:2" ht="15">
      <c r="A522" s="253">
        <v>798</v>
      </c>
      <c r="B522" s="288" t="s">
        <v>1054</v>
      </c>
    </row>
    <row r="523" spans="1:2" ht="15">
      <c r="A523" s="253">
        <v>799</v>
      </c>
      <c r="B523" s="248" t="s">
        <v>1055</v>
      </c>
    </row>
    <row r="524" spans="1:2" ht="22.5">
      <c r="A524" s="253">
        <v>800</v>
      </c>
      <c r="B524" s="244" t="s">
        <v>1056</v>
      </c>
    </row>
    <row r="525" spans="1:2" ht="15">
      <c r="A525" s="253">
        <v>801</v>
      </c>
      <c r="B525" s="244" t="s">
        <v>1057</v>
      </c>
    </row>
    <row r="526" spans="1:2" ht="15">
      <c r="A526" s="253">
        <v>802</v>
      </c>
      <c r="B526" s="251" t="s">
        <v>1058</v>
      </c>
    </row>
    <row r="527" spans="1:2" ht="15">
      <c r="A527" s="253">
        <v>803</v>
      </c>
      <c r="B527" s="288" t="s">
        <v>1059</v>
      </c>
    </row>
    <row r="528" spans="1:2" ht="25.5">
      <c r="A528" s="253">
        <v>804</v>
      </c>
      <c r="B528" s="248" t="s">
        <v>1060</v>
      </c>
    </row>
    <row r="529" spans="1:2" ht="33.75">
      <c r="A529" s="253">
        <v>805</v>
      </c>
      <c r="B529" s="244" t="s">
        <v>1061</v>
      </c>
    </row>
    <row r="530" spans="1:2" ht="33.75">
      <c r="A530" s="253">
        <v>806</v>
      </c>
      <c r="B530" s="244" t="s">
        <v>1062</v>
      </c>
    </row>
    <row r="531" spans="1:2" ht="15">
      <c r="A531" s="253">
        <v>807</v>
      </c>
      <c r="B531" s="283" t="s">
        <v>1063</v>
      </c>
    </row>
    <row r="532" spans="1:2" ht="15">
      <c r="A532" s="253">
        <v>808</v>
      </c>
      <c r="B532" s="248" t="s">
        <v>1064</v>
      </c>
    </row>
    <row r="533" spans="1:2" ht="22.5">
      <c r="A533" s="253">
        <v>809</v>
      </c>
      <c r="B533" s="244" t="s">
        <v>1065</v>
      </c>
    </row>
    <row r="534" spans="1:2" ht="15">
      <c r="A534" s="253">
        <v>810</v>
      </c>
      <c r="B534" s="288" t="s">
        <v>1066</v>
      </c>
    </row>
    <row r="535" spans="1:2" ht="15">
      <c r="A535" s="253">
        <v>811</v>
      </c>
      <c r="B535" s="248" t="s">
        <v>1067</v>
      </c>
    </row>
    <row r="536" spans="1:2" ht="15">
      <c r="A536" s="253">
        <v>812</v>
      </c>
      <c r="B536" s="306" t="s">
        <v>1068</v>
      </c>
    </row>
    <row r="537" spans="1:2" ht="15">
      <c r="A537" s="253">
        <v>813</v>
      </c>
      <c r="B537" s="599" t="s">
        <v>1069</v>
      </c>
    </row>
    <row r="538" spans="1:2" ht="15">
      <c r="A538" s="253">
        <v>814</v>
      </c>
      <c r="B538" s="599" t="s">
        <v>1070</v>
      </c>
    </row>
    <row r="539" spans="1:2" ht="15">
      <c r="A539" s="253">
        <v>815</v>
      </c>
      <c r="B539" s="600" t="s">
        <v>1071</v>
      </c>
    </row>
    <row r="540" spans="1:2" ht="25.5">
      <c r="A540" s="253">
        <v>816</v>
      </c>
      <c r="B540" s="248" t="s">
        <v>1072</v>
      </c>
    </row>
    <row r="541" spans="1:2" ht="22.5">
      <c r="A541" s="253">
        <v>817</v>
      </c>
      <c r="B541" s="244" t="s">
        <v>1073</v>
      </c>
    </row>
    <row r="542" spans="1:2" ht="15">
      <c r="A542" s="253">
        <v>818</v>
      </c>
      <c r="B542" s="283" t="s">
        <v>1074</v>
      </c>
    </row>
    <row r="543" spans="1:2" ht="25.5">
      <c r="A543" s="253">
        <v>819</v>
      </c>
      <c r="B543" s="248" t="s">
        <v>1075</v>
      </c>
    </row>
    <row r="544" spans="1:2" ht="22.5">
      <c r="A544" s="253">
        <v>820</v>
      </c>
      <c r="B544" s="244" t="s">
        <v>1076</v>
      </c>
    </row>
    <row r="545" spans="1:2" ht="22.5">
      <c r="A545" s="253">
        <v>821</v>
      </c>
      <c r="B545" s="244" t="s">
        <v>1077</v>
      </c>
    </row>
    <row r="546" spans="1:2" ht="15">
      <c r="A546" s="253">
        <v>822</v>
      </c>
      <c r="B546" s="244" t="s">
        <v>1078</v>
      </c>
    </row>
    <row r="547" spans="1:2" ht="15.75" thickBot="1">
      <c r="A547" s="253">
        <v>823</v>
      </c>
      <c r="B547" s="288" t="s">
        <v>1079</v>
      </c>
    </row>
    <row r="548" spans="1:2" ht="26.25" thickBot="1">
      <c r="A548" s="253">
        <v>824</v>
      </c>
      <c r="B548" s="265" t="s">
        <v>1080</v>
      </c>
    </row>
    <row r="549" spans="1:2" ht="15">
      <c r="A549" s="253">
        <v>825</v>
      </c>
      <c r="B549" s="266" t="s">
        <v>1081</v>
      </c>
    </row>
    <row r="550" spans="1:2" ht="15">
      <c r="A550" s="253">
        <v>829</v>
      </c>
      <c r="B550" s="268" t="s">
        <v>1082</v>
      </c>
    </row>
    <row r="551" spans="1:2" ht="15">
      <c r="A551" s="253">
        <v>831</v>
      </c>
      <c r="B551" s="269" t="s">
        <v>1083</v>
      </c>
    </row>
    <row r="552" spans="1:2" ht="54">
      <c r="A552" s="253">
        <v>832</v>
      </c>
      <c r="B552" s="260" t="s">
        <v>1084</v>
      </c>
    </row>
    <row r="553" spans="1:2" ht="15.75">
      <c r="A553" s="253">
        <v>833</v>
      </c>
      <c r="B553" s="250" t="s">
        <v>1085</v>
      </c>
    </row>
    <row r="554" spans="1:2" ht="15">
      <c r="A554" s="253">
        <v>834</v>
      </c>
      <c r="B554" s="270" t="s">
        <v>1086</v>
      </c>
    </row>
    <row r="555" spans="1:2" ht="25.5">
      <c r="A555" s="253">
        <v>835</v>
      </c>
      <c r="B555" s="248" t="s">
        <v>1087</v>
      </c>
    </row>
    <row r="556" spans="1:2" ht="22.5">
      <c r="A556" s="253">
        <v>836</v>
      </c>
      <c r="B556" s="244" t="s">
        <v>1088</v>
      </c>
    </row>
    <row r="557" spans="1:2" ht="25.5">
      <c r="A557" s="253">
        <v>837</v>
      </c>
      <c r="B557" s="290" t="s">
        <v>1089</v>
      </c>
    </row>
    <row r="558" spans="1:2" ht="33.75">
      <c r="A558" s="253">
        <v>838</v>
      </c>
      <c r="B558" s="244" t="s">
        <v>1090</v>
      </c>
    </row>
    <row r="559" spans="1:2" ht="22.5">
      <c r="A559" s="253">
        <v>839</v>
      </c>
      <c r="B559" s="244" t="s">
        <v>1091</v>
      </c>
    </row>
    <row r="560" spans="1:2" ht="22.5">
      <c r="A560" s="253">
        <v>840</v>
      </c>
      <c r="B560" s="244" t="s">
        <v>1092</v>
      </c>
    </row>
    <row r="561" spans="1:2" ht="22.5">
      <c r="A561" s="253">
        <v>841</v>
      </c>
      <c r="B561" s="244" t="s">
        <v>1093</v>
      </c>
    </row>
    <row r="562" spans="1:2" ht="15">
      <c r="A562" s="253">
        <v>842</v>
      </c>
      <c r="B562" s="291" t="s">
        <v>1094</v>
      </c>
    </row>
    <row r="563" spans="1:2" ht="15">
      <c r="A563" s="253">
        <v>843</v>
      </c>
      <c r="B563" s="299" t="s">
        <v>1095</v>
      </c>
    </row>
    <row r="564" spans="1:2" ht="15">
      <c r="A564" s="253">
        <v>844</v>
      </c>
      <c r="B564" s="601" t="s">
        <v>1096</v>
      </c>
    </row>
    <row r="565" spans="1:2" ht="15.75" thickBot="1">
      <c r="A565" s="253">
        <v>845</v>
      </c>
      <c r="B565" s="602" t="s">
        <v>1097</v>
      </c>
    </row>
    <row r="566" spans="1:2" ht="15">
      <c r="A566" s="253">
        <v>846</v>
      </c>
      <c r="B566" s="603" t="s">
        <v>1098</v>
      </c>
    </row>
    <row r="567" spans="1:2" ht="31.5">
      <c r="A567" s="253">
        <v>862</v>
      </c>
      <c r="B567" s="294" t="s">
        <v>1099</v>
      </c>
    </row>
    <row r="568" spans="1:2" ht="15">
      <c r="A568" s="253">
        <v>866</v>
      </c>
      <c r="B568" s="248" t="s">
        <v>1100</v>
      </c>
    </row>
    <row r="569" spans="1:2" ht="25.5">
      <c r="A569" s="253">
        <v>868</v>
      </c>
      <c r="B569" s="248" t="s">
        <v>1101</v>
      </c>
    </row>
    <row r="570" spans="1:2" ht="21.75" thickBot="1">
      <c r="A570" s="253">
        <v>871</v>
      </c>
      <c r="B570" s="294" t="s">
        <v>1102</v>
      </c>
    </row>
    <row r="571" spans="1:2" ht="15">
      <c r="A571" s="253">
        <v>872</v>
      </c>
      <c r="B571" s="295" t="s">
        <v>1103</v>
      </c>
    </row>
    <row r="572" spans="1:2" ht="15">
      <c r="A572" s="253">
        <v>876</v>
      </c>
      <c r="B572" s="294" t="s">
        <v>1104</v>
      </c>
    </row>
    <row r="573" spans="1:2" ht="78.75">
      <c r="A573" s="253">
        <v>877</v>
      </c>
      <c r="B573" s="285" t="s">
        <v>1105</v>
      </c>
    </row>
    <row r="574" spans="1:2" ht="15">
      <c r="A574" s="253">
        <v>878</v>
      </c>
      <c r="B574" s="293" t="s">
        <v>1106</v>
      </c>
    </row>
    <row r="575" spans="1:2" ht="33.75">
      <c r="A575" s="253">
        <v>879</v>
      </c>
      <c r="B575" s="244" t="s">
        <v>1107</v>
      </c>
    </row>
    <row r="576" spans="1:2" ht="15">
      <c r="A576" s="253">
        <v>880</v>
      </c>
      <c r="B576" s="598" t="s">
        <v>1108</v>
      </c>
    </row>
    <row r="577" spans="1:2" ht="15">
      <c r="A577" s="253">
        <v>881</v>
      </c>
      <c r="B577" s="294" t="s">
        <v>1109</v>
      </c>
    </row>
    <row r="578" spans="1:2" ht="15">
      <c r="A578" s="253">
        <v>882</v>
      </c>
      <c r="B578" s="293" t="s">
        <v>1110</v>
      </c>
    </row>
    <row r="579" spans="1:2" ht="33.75">
      <c r="A579" s="253">
        <v>883</v>
      </c>
      <c r="B579" s="244" t="s">
        <v>1111</v>
      </c>
    </row>
    <row r="580" spans="1:2" ht="45">
      <c r="A580" s="253">
        <v>884</v>
      </c>
      <c r="B580" s="244" t="s">
        <v>1112</v>
      </c>
    </row>
    <row r="581" spans="1:2" ht="67.5">
      <c r="A581" s="253">
        <v>885</v>
      </c>
      <c r="B581" s="244" t="s">
        <v>1113</v>
      </c>
    </row>
    <row r="582" spans="1:2" ht="45">
      <c r="A582" s="253">
        <v>886</v>
      </c>
      <c r="B582" s="244" t="s">
        <v>1114</v>
      </c>
    </row>
    <row r="583" spans="1:2" ht="22.5">
      <c r="A583" s="253">
        <v>887</v>
      </c>
      <c r="B583" s="244" t="s">
        <v>1115</v>
      </c>
    </row>
    <row r="584" spans="1:2" ht="15">
      <c r="A584" s="253">
        <v>888</v>
      </c>
      <c r="B584" s="598" t="s">
        <v>1116</v>
      </c>
    </row>
    <row r="585" spans="1:2" ht="15">
      <c r="A585" s="253">
        <v>889</v>
      </c>
      <c r="B585" s="292" t="s">
        <v>1117</v>
      </c>
    </row>
    <row r="586" spans="1:2" ht="15">
      <c r="A586" s="253">
        <v>890</v>
      </c>
      <c r="B586" s="290" t="s">
        <v>1118</v>
      </c>
    </row>
    <row r="587" spans="1:2" ht="22.5">
      <c r="A587" s="253">
        <v>891</v>
      </c>
      <c r="B587" s="293" t="s">
        <v>1119</v>
      </c>
    </row>
    <row r="588" spans="1:2" ht="15">
      <c r="A588" s="253">
        <v>892</v>
      </c>
      <c r="B588" s="297" t="s">
        <v>1120</v>
      </c>
    </row>
    <row r="589" spans="1:2" ht="25.5">
      <c r="A589" s="253">
        <v>893</v>
      </c>
      <c r="B589" s="290" t="s">
        <v>1121</v>
      </c>
    </row>
    <row r="590" spans="1:2" ht="22.5">
      <c r="A590" s="253">
        <v>894</v>
      </c>
      <c r="B590" s="293" t="s">
        <v>1122</v>
      </c>
    </row>
    <row r="591" spans="1:2" ht="15">
      <c r="A591" s="253">
        <v>895</v>
      </c>
      <c r="B591" s="291" t="s">
        <v>839</v>
      </c>
    </row>
    <row r="592" spans="1:2" ht="15">
      <c r="A592" s="253">
        <v>896</v>
      </c>
      <c r="B592" s="297" t="s">
        <v>1123</v>
      </c>
    </row>
    <row r="593" spans="1:2" ht="25.5">
      <c r="A593" s="253">
        <v>897</v>
      </c>
      <c r="B593" s="290" t="s">
        <v>1124</v>
      </c>
    </row>
    <row r="594" spans="1:2" ht="33.75">
      <c r="A594" s="253">
        <v>898</v>
      </c>
      <c r="B594" s="293" t="s">
        <v>1125</v>
      </c>
    </row>
    <row r="595" spans="1:2" ht="33.75">
      <c r="A595" s="253">
        <v>899</v>
      </c>
      <c r="B595" s="293" t="s">
        <v>1126</v>
      </c>
    </row>
    <row r="596" spans="1:2" ht="15">
      <c r="A596" s="253">
        <v>900</v>
      </c>
      <c r="B596" s="291" t="s">
        <v>1127</v>
      </c>
    </row>
    <row r="597" spans="1:2" ht="15">
      <c r="A597" s="253">
        <v>901</v>
      </c>
      <c r="B597" s="297" t="s">
        <v>1128</v>
      </c>
    </row>
    <row r="598" spans="1:2" ht="15">
      <c r="A598" s="253">
        <v>902</v>
      </c>
      <c r="B598" s="290" t="s">
        <v>1129</v>
      </c>
    </row>
    <row r="599" spans="1:2" ht="22.5">
      <c r="A599" s="253">
        <v>903</v>
      </c>
      <c r="B599" s="293" t="s">
        <v>1130</v>
      </c>
    </row>
    <row r="600" spans="1:2" ht="22.5">
      <c r="A600" s="253">
        <v>904</v>
      </c>
      <c r="B600" s="293" t="s">
        <v>1131</v>
      </c>
    </row>
    <row r="601" spans="1:2" ht="15">
      <c r="A601" s="253">
        <v>905</v>
      </c>
      <c r="B601" s="297" t="s">
        <v>1132</v>
      </c>
    </row>
    <row r="602" spans="1:2" ht="30">
      <c r="A602" s="253">
        <v>906</v>
      </c>
      <c r="B602" s="292" t="s">
        <v>1133</v>
      </c>
    </row>
    <row r="603" spans="1:2" ht="22.5">
      <c r="A603" s="253">
        <v>907</v>
      </c>
      <c r="B603" s="293" t="s">
        <v>1134</v>
      </c>
    </row>
    <row r="604" spans="1:2" ht="22.5">
      <c r="A604" s="253">
        <v>908</v>
      </c>
      <c r="B604" s="293" t="s">
        <v>1135</v>
      </c>
    </row>
    <row r="605" spans="1:2" ht="22.5">
      <c r="A605" s="253">
        <v>909</v>
      </c>
      <c r="B605" s="293" t="s">
        <v>1136</v>
      </c>
    </row>
    <row r="606" spans="1:2" ht="25.5">
      <c r="A606" s="253">
        <v>910</v>
      </c>
      <c r="B606" s="290" t="s">
        <v>1137</v>
      </c>
    </row>
    <row r="607" spans="1:2" ht="33.75">
      <c r="A607" s="253">
        <v>911</v>
      </c>
      <c r="B607" s="244" t="s">
        <v>1138</v>
      </c>
    </row>
    <row r="608" spans="1:2" ht="56.25">
      <c r="A608" s="253">
        <v>912</v>
      </c>
      <c r="B608" s="244" t="s">
        <v>1139</v>
      </c>
    </row>
    <row r="609" spans="1:2" ht="15">
      <c r="A609" s="253">
        <v>913</v>
      </c>
      <c r="B609" s="297" t="s">
        <v>1140</v>
      </c>
    </row>
    <row r="610" spans="1:2" ht="15">
      <c r="A610" s="253">
        <v>914</v>
      </c>
      <c r="B610" s="297" t="s">
        <v>1141</v>
      </c>
    </row>
    <row r="611" spans="1:2" ht="15">
      <c r="A611" s="253">
        <v>915</v>
      </c>
      <c r="B611" s="297" t="s">
        <v>1142</v>
      </c>
    </row>
    <row r="612" spans="1:2" ht="38.25">
      <c r="A612" s="253">
        <v>916</v>
      </c>
      <c r="B612" s="290" t="s">
        <v>1143</v>
      </c>
    </row>
    <row r="613" spans="1:2" ht="45">
      <c r="A613" s="253">
        <v>917</v>
      </c>
      <c r="B613" s="244" t="s">
        <v>1144</v>
      </c>
    </row>
    <row r="614" spans="1:2" ht="15">
      <c r="A614" s="253">
        <v>918</v>
      </c>
      <c r="B614" s="293" t="s">
        <v>1145</v>
      </c>
    </row>
    <row r="615" spans="1:2" ht="15">
      <c r="A615" s="253">
        <v>919</v>
      </c>
      <c r="B615" s="279" t="s">
        <v>1146</v>
      </c>
    </row>
    <row r="616" spans="1:2" ht="15">
      <c r="A616" s="253">
        <v>920</v>
      </c>
      <c r="B616" s="291" t="s">
        <v>1147</v>
      </c>
    </row>
    <row r="617" spans="1:2" ht="15">
      <c r="A617" s="253">
        <v>921</v>
      </c>
      <c r="B617" s="290" t="s">
        <v>1148</v>
      </c>
    </row>
    <row r="618" spans="1:2" ht="21">
      <c r="A618" s="253">
        <v>922</v>
      </c>
      <c r="B618" s="294" t="s">
        <v>1149</v>
      </c>
    </row>
    <row r="619" spans="1:2" ht="31.5">
      <c r="A619" s="253">
        <v>923</v>
      </c>
      <c r="B619" s="294" t="s">
        <v>1150</v>
      </c>
    </row>
    <row r="620" spans="1:2" ht="25.5">
      <c r="A620" s="253">
        <v>924</v>
      </c>
      <c r="B620" s="291" t="s">
        <v>1151</v>
      </c>
    </row>
    <row r="621" spans="1:2" ht="15">
      <c r="A621" s="253">
        <v>925</v>
      </c>
      <c r="B621" s="297" t="s">
        <v>1152</v>
      </c>
    </row>
    <row r="622" spans="1:2" ht="38.25">
      <c r="A622" s="253">
        <v>926</v>
      </c>
      <c r="B622" s="291" t="s">
        <v>1153</v>
      </c>
    </row>
    <row r="623" spans="1:2" ht="15">
      <c r="A623" s="253">
        <v>927</v>
      </c>
      <c r="B623" s="297" t="s">
        <v>1154</v>
      </c>
    </row>
    <row r="624" spans="1:2" ht="25.5">
      <c r="A624" s="253">
        <v>928</v>
      </c>
      <c r="B624" s="296" t="s">
        <v>1155</v>
      </c>
    </row>
    <row r="625" spans="1:2" ht="15">
      <c r="A625" s="253">
        <v>929</v>
      </c>
      <c r="B625" s="293" t="s">
        <v>1156</v>
      </c>
    </row>
    <row r="626" spans="1:2" ht="15">
      <c r="A626" s="253">
        <v>930</v>
      </c>
      <c r="B626" s="297" t="s">
        <v>1157</v>
      </c>
    </row>
    <row r="627" spans="1:2" ht="15">
      <c r="A627" s="253">
        <v>931</v>
      </c>
      <c r="B627" s="292" t="s">
        <v>1158</v>
      </c>
    </row>
    <row r="628" spans="1:2" ht="25.5">
      <c r="A628" s="253">
        <v>932</v>
      </c>
      <c r="B628" s="290" t="s">
        <v>1159</v>
      </c>
    </row>
    <row r="629" spans="1:2" ht="15">
      <c r="A629" s="253">
        <v>933</v>
      </c>
      <c r="B629" s="297" t="s">
        <v>1160</v>
      </c>
    </row>
    <row r="630" spans="1:2" ht="22.5">
      <c r="A630" s="253">
        <v>934</v>
      </c>
      <c r="B630" s="293" t="s">
        <v>1161</v>
      </c>
    </row>
    <row r="631" spans="1:2" ht="22.5">
      <c r="A631" s="253">
        <v>935</v>
      </c>
      <c r="B631" s="298" t="s">
        <v>1162</v>
      </c>
    </row>
    <row r="632" spans="1:2" ht="15">
      <c r="A632" s="253">
        <v>936</v>
      </c>
      <c r="B632" s="299" t="s">
        <v>1163</v>
      </c>
    </row>
    <row r="633" spans="1:2" ht="15">
      <c r="A633" s="253">
        <v>937</v>
      </c>
      <c r="B633" s="300" t="s">
        <v>1164</v>
      </c>
    </row>
    <row r="634" spans="1:2" ht="15">
      <c r="A634" s="253">
        <v>938</v>
      </c>
      <c r="B634" s="291" t="s">
        <v>1165</v>
      </c>
    </row>
    <row r="635" spans="1:2" ht="15">
      <c r="A635" s="253">
        <v>939</v>
      </c>
      <c r="B635" s="301" t="s">
        <v>1166</v>
      </c>
    </row>
    <row r="636" spans="1:2" ht="25.5">
      <c r="A636" s="253">
        <v>940</v>
      </c>
      <c r="B636" s="290" t="s">
        <v>1167</v>
      </c>
    </row>
    <row r="637" spans="1:2" ht="22.5">
      <c r="A637" s="253">
        <v>941</v>
      </c>
      <c r="B637" s="298" t="s">
        <v>1168</v>
      </c>
    </row>
    <row r="638" spans="1:2" ht="15">
      <c r="A638" s="253">
        <v>942</v>
      </c>
      <c r="B638" s="297" t="s">
        <v>1169</v>
      </c>
    </row>
    <row r="639" spans="1:2" ht="25.5">
      <c r="A639" s="253">
        <v>943</v>
      </c>
      <c r="B639" s="296" t="s">
        <v>1170</v>
      </c>
    </row>
    <row r="640" spans="1:2" ht="15">
      <c r="A640" s="253">
        <v>944</v>
      </c>
      <c r="B640" s="291" t="s">
        <v>1171</v>
      </c>
    </row>
    <row r="641" spans="1:2" ht="15">
      <c r="A641" s="253">
        <v>945</v>
      </c>
      <c r="B641" s="297" t="s">
        <v>1172</v>
      </c>
    </row>
    <row r="642" spans="1:2" ht="15">
      <c r="A642" s="253">
        <v>946</v>
      </c>
      <c r="B642" s="296" t="s">
        <v>1173</v>
      </c>
    </row>
    <row r="643" spans="1:2" ht="22.5">
      <c r="A643" s="253">
        <v>947</v>
      </c>
      <c r="B643" s="293" t="s">
        <v>1174</v>
      </c>
    </row>
    <row r="644" spans="1:2" ht="33.75">
      <c r="A644" s="253">
        <v>948</v>
      </c>
      <c r="B644" s="293" t="s">
        <v>1175</v>
      </c>
    </row>
    <row r="645" spans="1:2" ht="15">
      <c r="A645" s="253">
        <v>949</v>
      </c>
      <c r="B645" s="297" t="s">
        <v>1176</v>
      </c>
    </row>
    <row r="646" spans="1:2" ht="15">
      <c r="A646" s="253">
        <v>950</v>
      </c>
      <c r="B646" s="297" t="s">
        <v>1177</v>
      </c>
    </row>
    <row r="647" spans="1:2" ht="25.5">
      <c r="A647" s="253">
        <v>951</v>
      </c>
      <c r="B647" s="291" t="s">
        <v>1178</v>
      </c>
    </row>
    <row r="648" spans="1:2" ht="15">
      <c r="A648" s="253">
        <v>952</v>
      </c>
      <c r="B648" s="297" t="s">
        <v>1179</v>
      </c>
    </row>
    <row r="649" spans="1:2" ht="25.5">
      <c r="A649" s="253">
        <v>953</v>
      </c>
      <c r="B649" s="290" t="s">
        <v>1180</v>
      </c>
    </row>
    <row r="650" spans="1:2" ht="21">
      <c r="A650" s="253">
        <v>954</v>
      </c>
      <c r="B650" s="294" t="s">
        <v>1181</v>
      </c>
    </row>
    <row r="651" spans="1:2" ht="15">
      <c r="A651" s="253">
        <v>955</v>
      </c>
      <c r="B651" s="294" t="s">
        <v>1182</v>
      </c>
    </row>
    <row r="652" spans="1:2" ht="15">
      <c r="A652" s="385">
        <v>956</v>
      </c>
      <c r="B652" s="288" t="s">
        <v>1183</v>
      </c>
    </row>
    <row r="653" spans="1:2" ht="22.5">
      <c r="A653" s="253">
        <v>957</v>
      </c>
      <c r="B653" s="293" t="s">
        <v>1184</v>
      </c>
    </row>
    <row r="654" spans="1:2" ht="22.5">
      <c r="A654" s="253">
        <v>958</v>
      </c>
      <c r="B654" s="293" t="s">
        <v>1185</v>
      </c>
    </row>
    <row r="655" spans="1:2" ht="22.5">
      <c r="A655" s="253">
        <v>959</v>
      </c>
      <c r="B655" s="293" t="s">
        <v>1186</v>
      </c>
    </row>
    <row r="656" spans="1:2" ht="15">
      <c r="A656" s="253">
        <v>985</v>
      </c>
      <c r="B656" s="292" t="s">
        <v>1187</v>
      </c>
    </row>
    <row r="657" spans="1:2" ht="15">
      <c r="A657" s="253">
        <v>986</v>
      </c>
      <c r="B657" s="290" t="s">
        <v>1188</v>
      </c>
    </row>
    <row r="658" spans="1:2" ht="33.75">
      <c r="A658" s="253">
        <v>987</v>
      </c>
      <c r="B658" s="293" t="s">
        <v>1189</v>
      </c>
    </row>
    <row r="659" spans="1:2" ht="15">
      <c r="A659" s="253">
        <v>988</v>
      </c>
      <c r="B659" s="297" t="s">
        <v>1190</v>
      </c>
    </row>
    <row r="660" spans="1:2" ht="15">
      <c r="A660" s="253">
        <v>989</v>
      </c>
      <c r="B660" s="297" t="s">
        <v>1191</v>
      </c>
    </row>
    <row r="661" spans="1:2" ht="15">
      <c r="A661" s="253">
        <v>990</v>
      </c>
      <c r="B661" s="291" t="s">
        <v>1192</v>
      </c>
    </row>
    <row r="662" spans="1:2" ht="15">
      <c r="A662" s="253">
        <v>991</v>
      </c>
      <c r="B662" s="297" t="s">
        <v>1193</v>
      </c>
    </row>
    <row r="663" spans="1:2" ht="15">
      <c r="A663" s="253">
        <v>992</v>
      </c>
      <c r="B663" s="291" t="s">
        <v>1194</v>
      </c>
    </row>
    <row r="664" spans="1:2" ht="15">
      <c r="A664" s="253">
        <v>993</v>
      </c>
      <c r="B664" s="297" t="s">
        <v>1195</v>
      </c>
    </row>
    <row r="665" spans="1:2" ht="15">
      <c r="A665" s="253">
        <v>994</v>
      </c>
      <c r="B665" s="291" t="s">
        <v>1196</v>
      </c>
    </row>
    <row r="666" spans="1:2" ht="15">
      <c r="A666" s="253">
        <v>995</v>
      </c>
      <c r="B666" s="297" t="s">
        <v>1197</v>
      </c>
    </row>
    <row r="667" spans="1:2" ht="15">
      <c r="A667" s="253">
        <v>996</v>
      </c>
      <c r="B667" s="291" t="s">
        <v>1198</v>
      </c>
    </row>
    <row r="668" spans="1:2" ht="15">
      <c r="A668" s="253">
        <v>997</v>
      </c>
      <c r="B668" s="297" t="s">
        <v>1199</v>
      </c>
    </row>
    <row r="669" spans="1:2" ht="25.5">
      <c r="A669" s="253">
        <v>998</v>
      </c>
      <c r="B669" s="291" t="s">
        <v>1200</v>
      </c>
    </row>
    <row r="670" spans="1:2" ht="15">
      <c r="A670" s="253">
        <v>999</v>
      </c>
      <c r="B670" s="297" t="s">
        <v>1201</v>
      </c>
    </row>
    <row r="671" spans="1:2" ht="15.75" thickBot="1">
      <c r="A671" s="253">
        <v>1000</v>
      </c>
      <c r="B671" s="297" t="s">
        <v>1202</v>
      </c>
    </row>
    <row r="672" spans="1:2" ht="25.5">
      <c r="A672" s="253">
        <v>1001</v>
      </c>
      <c r="B672" s="265" t="s">
        <v>1203</v>
      </c>
    </row>
    <row r="673" spans="1:2" ht="54">
      <c r="A673" s="253">
        <v>1002</v>
      </c>
      <c r="B673" s="260" t="s">
        <v>1204</v>
      </c>
    </row>
    <row r="674" spans="1:2" ht="31.5">
      <c r="A674" s="253">
        <v>1003</v>
      </c>
      <c r="B674" s="250" t="s">
        <v>1205</v>
      </c>
    </row>
    <row r="675" spans="1:2" ht="22.5">
      <c r="A675" s="253">
        <v>1006</v>
      </c>
      <c r="B675" s="244" t="s">
        <v>1206</v>
      </c>
    </row>
    <row r="676" spans="1:2" ht="22.5">
      <c r="A676" s="253">
        <v>1007</v>
      </c>
      <c r="B676" s="244" t="s">
        <v>1207</v>
      </c>
    </row>
    <row r="677" spans="1:2" ht="15">
      <c r="A677" s="253">
        <v>1010</v>
      </c>
      <c r="B677" s="251" t="s">
        <v>1208</v>
      </c>
    </row>
    <row r="678" spans="1:2" ht="15">
      <c r="A678" s="253">
        <v>1011</v>
      </c>
      <c r="B678" s="604" t="s">
        <v>1209</v>
      </c>
    </row>
    <row r="679" spans="1:2" ht="15">
      <c r="A679" s="253">
        <v>1012</v>
      </c>
      <c r="B679" s="604" t="s">
        <v>1210</v>
      </c>
    </row>
    <row r="680" spans="1:2" ht="15">
      <c r="A680" s="253">
        <v>1013</v>
      </c>
      <c r="B680" s="248" t="s">
        <v>1211</v>
      </c>
    </row>
    <row r="681" spans="1:2" ht="22.5">
      <c r="A681" s="253">
        <v>1014</v>
      </c>
      <c r="B681" s="244" t="s">
        <v>1212</v>
      </c>
    </row>
    <row r="682" spans="1:2" ht="15">
      <c r="A682" s="253">
        <v>1015</v>
      </c>
      <c r="B682" s="248" t="s">
        <v>1213</v>
      </c>
    </row>
    <row r="683" spans="1:2" ht="22.5">
      <c r="A683" s="253">
        <v>1016</v>
      </c>
      <c r="B683" s="244" t="s">
        <v>1214</v>
      </c>
    </row>
    <row r="684" spans="1:2" ht="22.5">
      <c r="A684" s="253">
        <v>1017</v>
      </c>
      <c r="B684" s="244" t="s">
        <v>1215</v>
      </c>
    </row>
    <row r="685" spans="1:2" ht="15">
      <c r="A685" s="253">
        <v>1018</v>
      </c>
      <c r="B685" s="244" t="s">
        <v>1216</v>
      </c>
    </row>
    <row r="686" spans="1:2" ht="22.5">
      <c r="A686" s="253">
        <v>1019</v>
      </c>
      <c r="B686" s="244" t="s">
        <v>1217</v>
      </c>
    </row>
    <row r="687" spans="1:2" ht="22.5">
      <c r="A687" s="253">
        <v>1020</v>
      </c>
      <c r="B687" s="244" t="s">
        <v>1218</v>
      </c>
    </row>
    <row r="688" spans="1:2" ht="15">
      <c r="A688" s="253">
        <v>1022</v>
      </c>
      <c r="B688" s="251" t="s">
        <v>1219</v>
      </c>
    </row>
    <row r="689" spans="1:2" ht="15">
      <c r="A689" s="253">
        <v>1025</v>
      </c>
      <c r="B689" s="279" t="s">
        <v>1220</v>
      </c>
    </row>
    <row r="690" spans="1:2" ht="15">
      <c r="A690" s="253">
        <v>1026</v>
      </c>
      <c r="B690" s="276" t="s">
        <v>1221</v>
      </c>
    </row>
    <row r="691" spans="1:2" ht="15">
      <c r="A691" s="253">
        <v>1027</v>
      </c>
      <c r="B691" s="279" t="s">
        <v>1222</v>
      </c>
    </row>
    <row r="692" spans="1:2" ht="15">
      <c r="A692" s="253">
        <v>1028</v>
      </c>
      <c r="B692" s="283" t="s">
        <v>1223</v>
      </c>
    </row>
    <row r="693" spans="1:2" ht="15">
      <c r="A693" s="253">
        <v>1029</v>
      </c>
      <c r="B693" s="248" t="s">
        <v>1224</v>
      </c>
    </row>
    <row r="694" spans="1:2" ht="22.5">
      <c r="A694" s="253">
        <v>1030</v>
      </c>
      <c r="B694" s="244" t="s">
        <v>1225</v>
      </c>
    </row>
    <row r="695" spans="1:2" ht="22.5">
      <c r="A695" s="253">
        <v>1031</v>
      </c>
      <c r="B695" s="244" t="s">
        <v>1226</v>
      </c>
    </row>
    <row r="696" spans="1:2" ht="15">
      <c r="A696" s="253">
        <v>1035</v>
      </c>
      <c r="B696" s="276" t="s">
        <v>1227</v>
      </c>
    </row>
    <row r="697" spans="1:2" ht="15">
      <c r="A697" s="253">
        <v>1037</v>
      </c>
      <c r="B697" s="283" t="s">
        <v>1228</v>
      </c>
    </row>
    <row r="698" spans="1:2" ht="15">
      <c r="A698" s="253">
        <v>1045</v>
      </c>
      <c r="B698" s="248" t="s">
        <v>1229</v>
      </c>
    </row>
    <row r="699" spans="1:2" ht="22.5">
      <c r="A699" s="253">
        <v>1046</v>
      </c>
      <c r="B699" s="244" t="s">
        <v>1230</v>
      </c>
    </row>
    <row r="700" spans="1:2" ht="15">
      <c r="A700" s="253">
        <v>1062</v>
      </c>
      <c r="B700" s="605" t="s">
        <v>1231</v>
      </c>
    </row>
    <row r="701" spans="1:2" ht="15">
      <c r="A701" s="253">
        <v>1087</v>
      </c>
      <c r="B701" s="270" t="s">
        <v>1232</v>
      </c>
    </row>
    <row r="702" spans="1:2" ht="25.5">
      <c r="A702" s="253">
        <v>1088</v>
      </c>
      <c r="B702" s="248" t="s">
        <v>1233</v>
      </c>
    </row>
    <row r="703" spans="1:2" ht="45">
      <c r="A703" s="253">
        <v>1089</v>
      </c>
      <c r="B703" s="244" t="s">
        <v>1234</v>
      </c>
    </row>
    <row r="704" spans="1:2" ht="15">
      <c r="A704" s="253">
        <v>1091</v>
      </c>
      <c r="B704" s="244" t="s">
        <v>1235</v>
      </c>
    </row>
    <row r="705" spans="1:2" ht="15">
      <c r="A705" s="253">
        <v>1092</v>
      </c>
      <c r="B705" s="606" t="s">
        <v>474</v>
      </c>
    </row>
    <row r="706" spans="1:2" ht="15">
      <c r="A706" s="253">
        <v>1093</v>
      </c>
      <c r="B706" s="244" t="s">
        <v>1236</v>
      </c>
    </row>
    <row r="707" spans="1:2" ht="15">
      <c r="A707" s="253">
        <v>1094</v>
      </c>
      <c r="B707" s="606" t="s">
        <v>78</v>
      </c>
    </row>
    <row r="708" spans="1:2" ht="15">
      <c r="A708" s="253">
        <v>1095</v>
      </c>
      <c r="B708" s="303" t="s">
        <v>1237</v>
      </c>
    </row>
    <row r="709" spans="1:2" ht="25.5">
      <c r="A709" s="253">
        <v>1096</v>
      </c>
      <c r="B709" s="248" t="s">
        <v>1238</v>
      </c>
    </row>
    <row r="710" spans="1:2" ht="15.75" thickBot="1">
      <c r="A710" s="253">
        <v>1098</v>
      </c>
      <c r="B710" s="544" t="s">
        <v>1239</v>
      </c>
    </row>
    <row r="711" spans="1:2" ht="26.25" thickBot="1">
      <c r="A711" s="253">
        <v>1099</v>
      </c>
      <c r="B711" s="265" t="s">
        <v>1240</v>
      </c>
    </row>
    <row r="712" spans="1:2" ht="15.75" thickBot="1">
      <c r="A712" s="253">
        <v>1100</v>
      </c>
      <c r="B712" s="266" t="s">
        <v>1241</v>
      </c>
    </row>
    <row r="713" spans="1:2" ht="15.75" thickBot="1">
      <c r="A713" s="253">
        <v>1101</v>
      </c>
      <c r="B713" s="267" t="s">
        <v>1242</v>
      </c>
    </row>
    <row r="714" spans="1:2" ht="15.75" thickBot="1">
      <c r="A714" s="253">
        <v>1102</v>
      </c>
      <c r="B714" s="267" t="s">
        <v>1243</v>
      </c>
    </row>
    <row r="715" spans="1:2" ht="15">
      <c r="A715" s="253">
        <v>1103</v>
      </c>
      <c r="B715" s="267" t="s">
        <v>1244</v>
      </c>
    </row>
    <row r="716" spans="1:2" ht="15">
      <c r="A716" s="253">
        <v>1104</v>
      </c>
      <c r="B716" s="268" t="s">
        <v>1245</v>
      </c>
    </row>
    <row r="717" spans="1:2" ht="15">
      <c r="A717" s="253">
        <v>1105</v>
      </c>
      <c r="B717" s="269" t="s">
        <v>1246</v>
      </c>
    </row>
    <row r="718" spans="1:2" ht="54">
      <c r="A718" s="253">
        <v>1106</v>
      </c>
      <c r="B718" s="260" t="s">
        <v>1247</v>
      </c>
    </row>
    <row r="719" spans="1:2" ht="25.5">
      <c r="A719" s="253">
        <v>1122</v>
      </c>
      <c r="B719" s="248" t="s">
        <v>1248</v>
      </c>
    </row>
    <row r="720" spans="1:2" ht="22.5">
      <c r="A720" s="253">
        <v>1123</v>
      </c>
      <c r="B720" s="244" t="s">
        <v>1249</v>
      </c>
    </row>
    <row r="721" spans="1:2" ht="22.5">
      <c r="A721" s="253">
        <v>1124</v>
      </c>
      <c r="B721" s="244" t="s">
        <v>1250</v>
      </c>
    </row>
    <row r="722" spans="1:2" ht="22.5">
      <c r="A722" s="253">
        <v>1125</v>
      </c>
      <c r="B722" s="244" t="s">
        <v>1251</v>
      </c>
    </row>
    <row r="723" spans="1:2" ht="33.75">
      <c r="A723" s="253">
        <v>1126</v>
      </c>
      <c r="B723" s="244" t="s">
        <v>1252</v>
      </c>
    </row>
    <row r="724" spans="1:2" ht="22.5">
      <c r="A724" s="253">
        <v>1127</v>
      </c>
      <c r="B724" s="244" t="s">
        <v>1253</v>
      </c>
    </row>
    <row r="725" spans="1:2" ht="22.5">
      <c r="A725" s="253">
        <v>1128</v>
      </c>
      <c r="B725" s="244" t="s">
        <v>1254</v>
      </c>
    </row>
    <row r="726" spans="1:2" ht="56.25">
      <c r="A726" s="253">
        <v>1129</v>
      </c>
      <c r="B726" s="244" t="s">
        <v>1255</v>
      </c>
    </row>
    <row r="727" spans="1:2" ht="22.5">
      <c r="A727" s="253">
        <v>1130</v>
      </c>
      <c r="B727" s="244" t="s">
        <v>1256</v>
      </c>
    </row>
    <row r="728" spans="1:2" ht="15">
      <c r="A728" s="253">
        <v>1132</v>
      </c>
      <c r="B728" s="244" t="s">
        <v>1257</v>
      </c>
    </row>
    <row r="729" spans="1:2" ht="15">
      <c r="A729" s="253">
        <v>1133</v>
      </c>
      <c r="B729" s="302" t="s">
        <v>1258</v>
      </c>
    </row>
    <row r="730" spans="1:2" ht="15">
      <c r="A730" s="253">
        <v>1134</v>
      </c>
      <c r="B730" s="302" t="s">
        <v>1259</v>
      </c>
    </row>
    <row r="731" spans="1:2" ht="15">
      <c r="A731" s="253">
        <v>1135</v>
      </c>
      <c r="B731" s="303" t="s">
        <v>1260</v>
      </c>
    </row>
    <row r="732" spans="1:2" ht="15">
      <c r="A732" s="253">
        <v>1136</v>
      </c>
      <c r="B732" s="248" t="s">
        <v>1261</v>
      </c>
    </row>
    <row r="733" spans="1:2" ht="45.75" thickBot="1">
      <c r="A733" s="253">
        <v>1137</v>
      </c>
      <c r="B733" s="244" t="s">
        <v>1262</v>
      </c>
    </row>
    <row r="734" spans="1:2" ht="25.5">
      <c r="A734" s="253">
        <v>1144</v>
      </c>
      <c r="B734" s="265" t="s">
        <v>1263</v>
      </c>
    </row>
    <row r="735" spans="1:2" ht="54">
      <c r="A735" s="253">
        <v>1145</v>
      </c>
      <c r="B735" s="260" t="s">
        <v>1264</v>
      </c>
    </row>
    <row r="736" spans="1:2" ht="15.75">
      <c r="A736" s="253">
        <v>1146</v>
      </c>
      <c r="B736" s="250" t="s">
        <v>1265</v>
      </c>
    </row>
    <row r="737" spans="1:2" ht="30">
      <c r="A737" s="253">
        <v>1147</v>
      </c>
      <c r="B737" s="270" t="s">
        <v>1266</v>
      </c>
    </row>
    <row r="738" spans="1:2" ht="22.5">
      <c r="A738" s="253">
        <v>1148</v>
      </c>
      <c r="B738" s="244" t="s">
        <v>1267</v>
      </c>
    </row>
    <row r="739" spans="1:2" ht="22.5">
      <c r="A739" s="253">
        <v>1149</v>
      </c>
      <c r="B739" s="244" t="s">
        <v>1268</v>
      </c>
    </row>
    <row r="740" spans="1:2" ht="15">
      <c r="A740" s="253">
        <v>1151</v>
      </c>
      <c r="B740" s="248" t="s">
        <v>1269</v>
      </c>
    </row>
    <row r="741" spans="1:2" ht="15">
      <c r="A741" s="253">
        <v>1153</v>
      </c>
      <c r="B741" s="248" t="s">
        <v>1270</v>
      </c>
    </row>
    <row r="742" spans="1:2" ht="15">
      <c r="A742" s="253">
        <v>1154</v>
      </c>
      <c r="B742" s="244" t="s">
        <v>1271</v>
      </c>
    </row>
    <row r="743" spans="1:2" ht="22.5">
      <c r="A743" s="253">
        <v>1155</v>
      </c>
      <c r="B743" s="244" t="s">
        <v>1272</v>
      </c>
    </row>
    <row r="744" spans="1:2" ht="15">
      <c r="A744" s="253">
        <v>1156</v>
      </c>
      <c r="B744" s="244" t="s">
        <v>1273</v>
      </c>
    </row>
    <row r="745" spans="1:2" ht="15">
      <c r="A745" s="253">
        <v>1157</v>
      </c>
      <c r="B745" s="244" t="s">
        <v>1274</v>
      </c>
    </row>
    <row r="746" spans="1:2" ht="15">
      <c r="A746" s="253">
        <v>1158</v>
      </c>
      <c r="B746" s="244" t="s">
        <v>1275</v>
      </c>
    </row>
    <row r="747" spans="1:2" ht="15">
      <c r="A747" s="253">
        <v>1159</v>
      </c>
      <c r="B747" s="244" t="s">
        <v>1276</v>
      </c>
    </row>
    <row r="748" spans="1:2" ht="15">
      <c r="A748" s="253">
        <v>1160</v>
      </c>
      <c r="B748" s="244" t="s">
        <v>1277</v>
      </c>
    </row>
    <row r="749" spans="1:2" ht="21">
      <c r="A749" s="253">
        <v>1161</v>
      </c>
      <c r="B749" s="245" t="s">
        <v>1278</v>
      </c>
    </row>
    <row r="750" spans="1:2" ht="15">
      <c r="A750" s="253">
        <v>1162</v>
      </c>
      <c r="B750" s="607" t="s">
        <v>1279</v>
      </c>
    </row>
    <row r="751" spans="1:2" ht="15">
      <c r="A751" s="253">
        <v>1164</v>
      </c>
      <c r="B751" s="608" t="s">
        <v>1280</v>
      </c>
    </row>
    <row r="752" spans="1:2" ht="15">
      <c r="A752" s="253">
        <v>1165</v>
      </c>
      <c r="B752" s="288" t="s">
        <v>1281</v>
      </c>
    </row>
    <row r="753" spans="1:2" ht="15">
      <c r="A753" s="253">
        <v>1166</v>
      </c>
      <c r="B753" s="600" t="s">
        <v>1282</v>
      </c>
    </row>
    <row r="754" spans="1:2" ht="15">
      <c r="A754" s="253">
        <v>1167</v>
      </c>
      <c r="B754" s="277" t="s">
        <v>1283</v>
      </c>
    </row>
    <row r="755" spans="1:2" ht="15">
      <c r="A755" s="253">
        <v>1168</v>
      </c>
      <c r="B755" s="277" t="s">
        <v>1284</v>
      </c>
    </row>
    <row r="756" spans="1:2" ht="15">
      <c r="A756" s="253">
        <v>1169</v>
      </c>
      <c r="B756" s="277" t="s">
        <v>1285</v>
      </c>
    </row>
    <row r="757" spans="1:2" ht="15">
      <c r="A757" s="253">
        <v>1170</v>
      </c>
      <c r="B757" s="277" t="s">
        <v>1286</v>
      </c>
    </row>
    <row r="758" spans="1:2" ht="15">
      <c r="A758" s="253">
        <v>1171</v>
      </c>
      <c r="B758" s="277" t="s">
        <v>1287</v>
      </c>
    </row>
    <row r="759" spans="1:2" ht="15">
      <c r="A759" s="253">
        <v>1172</v>
      </c>
      <c r="B759" s="277" t="s">
        <v>429</v>
      </c>
    </row>
    <row r="760" spans="1:2" ht="15">
      <c r="A760" s="253">
        <v>1173</v>
      </c>
      <c r="B760" s="277" t="s">
        <v>1288</v>
      </c>
    </row>
    <row r="761" spans="1:2" ht="15">
      <c r="A761" s="253">
        <v>1174</v>
      </c>
      <c r="B761" s="277" t="s">
        <v>1289</v>
      </c>
    </row>
    <row r="762" spans="1:2" ht="15">
      <c r="A762" s="253">
        <v>1175</v>
      </c>
      <c r="B762" s="277" t="s">
        <v>1290</v>
      </c>
    </row>
    <row r="763" spans="1:2" ht="15">
      <c r="A763" s="253">
        <v>1176</v>
      </c>
      <c r="B763" s="277" t="s">
        <v>1291</v>
      </c>
    </row>
    <row r="764" spans="1:2" ht="15">
      <c r="A764" s="253">
        <v>1177</v>
      </c>
      <c r="B764" s="277" t="s">
        <v>1292</v>
      </c>
    </row>
    <row r="765" spans="1:2" ht="15">
      <c r="A765" s="253">
        <v>1178</v>
      </c>
      <c r="B765" s="277" t="s">
        <v>1293</v>
      </c>
    </row>
    <row r="766" spans="1:2" ht="15">
      <c r="A766" s="253">
        <v>1179</v>
      </c>
      <c r="B766" s="277" t="s">
        <v>1294</v>
      </c>
    </row>
    <row r="767" spans="1:2" ht="15">
      <c r="A767" s="253">
        <v>1180</v>
      </c>
      <c r="B767" s="277" t="s">
        <v>1295</v>
      </c>
    </row>
    <row r="768" spans="1:2" ht="15">
      <c r="A768" s="253">
        <v>1181</v>
      </c>
      <c r="B768" s="277" t="s">
        <v>1296</v>
      </c>
    </row>
    <row r="769" spans="1:2" ht="15">
      <c r="A769" s="253">
        <v>1182</v>
      </c>
      <c r="B769" s="277" t="s">
        <v>1297</v>
      </c>
    </row>
    <row r="770" spans="1:2" ht="15">
      <c r="A770" s="253">
        <v>1183</v>
      </c>
      <c r="B770" s="277" t="s">
        <v>1298</v>
      </c>
    </row>
    <row r="771" spans="1:2" ht="15">
      <c r="A771" s="253">
        <v>1184</v>
      </c>
      <c r="B771" s="277" t="s">
        <v>257</v>
      </c>
    </row>
    <row r="772" spans="1:2" ht="15">
      <c r="A772" s="253">
        <v>1185</v>
      </c>
      <c r="B772" s="277" t="s">
        <v>1299</v>
      </c>
    </row>
    <row r="773" spans="1:2" ht="15">
      <c r="A773" s="253">
        <v>1186</v>
      </c>
      <c r="B773" s="277" t="s">
        <v>1300</v>
      </c>
    </row>
    <row r="774" spans="1:2" ht="15">
      <c r="A774" s="253">
        <v>1187</v>
      </c>
      <c r="B774" s="277" t="s">
        <v>1301</v>
      </c>
    </row>
    <row r="775" spans="1:2" ht="15">
      <c r="A775" s="253">
        <v>1188</v>
      </c>
      <c r="B775" s="277" t="s">
        <v>1302</v>
      </c>
    </row>
    <row r="776" spans="1:2" ht="15">
      <c r="A776" s="253">
        <v>1189</v>
      </c>
      <c r="B776" s="277" t="s">
        <v>1303</v>
      </c>
    </row>
    <row r="777" spans="1:2" ht="15">
      <c r="A777" s="253">
        <v>1190</v>
      </c>
      <c r="B777" s="277" t="s">
        <v>1304</v>
      </c>
    </row>
    <row r="778" spans="1:2" ht="15">
      <c r="A778" s="253">
        <v>1191</v>
      </c>
      <c r="B778" s="277" t="s">
        <v>1305</v>
      </c>
    </row>
    <row r="779" spans="1:2" ht="15">
      <c r="A779" s="253">
        <v>1192</v>
      </c>
      <c r="B779" s="277" t="s">
        <v>1306</v>
      </c>
    </row>
    <row r="780" spans="1:2" ht="15">
      <c r="A780" s="253">
        <v>1193</v>
      </c>
      <c r="B780" s="277" t="s">
        <v>1307</v>
      </c>
    </row>
    <row r="781" spans="1:2" ht="15">
      <c r="A781" s="253">
        <v>1194</v>
      </c>
      <c r="B781" s="277" t="s">
        <v>293</v>
      </c>
    </row>
    <row r="782" spans="1:2" ht="15">
      <c r="A782" s="253">
        <v>1195</v>
      </c>
      <c r="B782" s="277" t="s">
        <v>1308</v>
      </c>
    </row>
    <row r="783" spans="1:2" ht="15">
      <c r="A783" s="253">
        <v>1196</v>
      </c>
      <c r="B783" s="277" t="s">
        <v>1309</v>
      </c>
    </row>
    <row r="784" spans="1:2" ht="15">
      <c r="A784" s="253">
        <v>1197</v>
      </c>
      <c r="B784" s="277" t="s">
        <v>1310</v>
      </c>
    </row>
    <row r="785" spans="1:2" ht="15">
      <c r="A785" s="253">
        <v>1198</v>
      </c>
      <c r="B785" s="277" t="s">
        <v>1311</v>
      </c>
    </row>
    <row r="786" spans="1:2" ht="15">
      <c r="A786" s="253">
        <v>1199</v>
      </c>
      <c r="B786" s="277" t="s">
        <v>1312</v>
      </c>
    </row>
    <row r="787" spans="1:2" ht="15">
      <c r="A787" s="253">
        <v>1200</v>
      </c>
      <c r="B787" s="277" t="s">
        <v>1313</v>
      </c>
    </row>
    <row r="788" spans="1:2" ht="15">
      <c r="A788" s="253">
        <v>1201</v>
      </c>
      <c r="B788" s="277" t="s">
        <v>1314</v>
      </c>
    </row>
    <row r="789" spans="1:2" ht="15">
      <c r="A789" s="253">
        <v>1202</v>
      </c>
      <c r="B789" s="277" t="s">
        <v>1315</v>
      </c>
    </row>
    <row r="790" spans="1:2" ht="15">
      <c r="A790" s="253">
        <v>1203</v>
      </c>
      <c r="B790" s="277" t="s">
        <v>1316</v>
      </c>
    </row>
    <row r="791" spans="1:2" ht="15">
      <c r="A791" s="253">
        <v>1204</v>
      </c>
      <c r="B791" s="277" t="s">
        <v>1317</v>
      </c>
    </row>
    <row r="792" spans="1:2" ht="15">
      <c r="A792" s="253">
        <v>1205</v>
      </c>
      <c r="B792" s="277" t="s">
        <v>1318</v>
      </c>
    </row>
    <row r="793" spans="1:2" ht="15">
      <c r="A793" s="253">
        <v>1206</v>
      </c>
      <c r="B793" s="277" t="s">
        <v>1319</v>
      </c>
    </row>
    <row r="794" spans="1:2" ht="15">
      <c r="A794" s="253">
        <v>1207</v>
      </c>
      <c r="B794" s="277" t="s">
        <v>1320</v>
      </c>
    </row>
    <row r="795" spans="1:2" ht="15">
      <c r="A795" s="253">
        <v>1208</v>
      </c>
      <c r="B795" s="277" t="s">
        <v>1321</v>
      </c>
    </row>
    <row r="796" spans="1:2" ht="15">
      <c r="A796" s="253">
        <v>1209</v>
      </c>
      <c r="B796" s="277" t="s">
        <v>1322</v>
      </c>
    </row>
    <row r="797" spans="1:2" ht="15">
      <c r="A797" s="253">
        <v>1210</v>
      </c>
      <c r="B797" s="277" t="s">
        <v>1323</v>
      </c>
    </row>
    <row r="798" spans="1:2" ht="15">
      <c r="A798" s="253">
        <v>1211</v>
      </c>
      <c r="B798" s="277" t="s">
        <v>1324</v>
      </c>
    </row>
    <row r="799" spans="1:2" ht="15">
      <c r="A799" s="253">
        <v>1212</v>
      </c>
      <c r="B799" s="277" t="s">
        <v>1325</v>
      </c>
    </row>
    <row r="800" spans="1:2" ht="15">
      <c r="A800" s="253">
        <v>1213</v>
      </c>
      <c r="B800" s="277" t="s">
        <v>1326</v>
      </c>
    </row>
    <row r="801" spans="1:2" ht="15">
      <c r="A801" s="253">
        <v>1214</v>
      </c>
      <c r="B801" s="277" t="s">
        <v>1327</v>
      </c>
    </row>
    <row r="802" spans="1:2" ht="15">
      <c r="A802" s="253">
        <v>1215</v>
      </c>
      <c r="B802" s="277" t="s">
        <v>1328</v>
      </c>
    </row>
    <row r="803" spans="1:2" ht="15">
      <c r="A803" s="253">
        <v>1216</v>
      </c>
      <c r="B803" s="277" t="s">
        <v>1329</v>
      </c>
    </row>
    <row r="804" spans="1:2" ht="15">
      <c r="A804" s="253">
        <v>1217</v>
      </c>
      <c r="B804" s="277" t="s">
        <v>1330</v>
      </c>
    </row>
    <row r="805" spans="1:2" ht="15">
      <c r="A805" s="253">
        <v>1218</v>
      </c>
      <c r="B805" s="277" t="s">
        <v>1331</v>
      </c>
    </row>
    <row r="806" spans="1:2" ht="15">
      <c r="A806" s="253">
        <v>1219</v>
      </c>
      <c r="B806" s="277" t="s">
        <v>1332</v>
      </c>
    </row>
    <row r="807" spans="1:2" ht="15">
      <c r="A807" s="253">
        <v>1220</v>
      </c>
      <c r="B807" s="279" t="s">
        <v>1333</v>
      </c>
    </row>
    <row r="808" spans="1:2" ht="25.5">
      <c r="A808" s="253">
        <v>1221</v>
      </c>
      <c r="B808" s="248" t="s">
        <v>1334</v>
      </c>
    </row>
    <row r="809" spans="1:2" ht="22.5">
      <c r="A809" s="253">
        <v>1222</v>
      </c>
      <c r="B809" s="244" t="s">
        <v>1335</v>
      </c>
    </row>
    <row r="810" spans="1:2" ht="21">
      <c r="A810" s="253">
        <v>1223</v>
      </c>
      <c r="B810" s="245" t="s">
        <v>1336</v>
      </c>
    </row>
    <row r="811" spans="1:2" ht="21">
      <c r="A811" s="253">
        <v>1224</v>
      </c>
      <c r="B811" s="245" t="s">
        <v>1337</v>
      </c>
    </row>
    <row r="812" spans="1:2" ht="15">
      <c r="A812" s="253">
        <v>1226</v>
      </c>
      <c r="B812" s="288" t="s">
        <v>1338</v>
      </c>
    </row>
    <row r="813" spans="1:2" ht="30">
      <c r="A813" s="253">
        <v>1227</v>
      </c>
      <c r="B813" s="270" t="s">
        <v>1339</v>
      </c>
    </row>
    <row r="814" spans="1:2" ht="22.5">
      <c r="A814" s="253">
        <v>1228</v>
      </c>
      <c r="B814" s="244" t="s">
        <v>1340</v>
      </c>
    </row>
    <row r="815" spans="1:2" ht="15">
      <c r="A815" s="253">
        <v>1229</v>
      </c>
      <c r="B815" s="248" t="s">
        <v>1341</v>
      </c>
    </row>
    <row r="816" spans="1:2" ht="22.5">
      <c r="A816" s="253">
        <v>1230</v>
      </c>
      <c r="B816" s="244" t="s">
        <v>1342</v>
      </c>
    </row>
    <row r="817" spans="1:2" ht="15">
      <c r="A817" s="253">
        <v>1231</v>
      </c>
      <c r="B817" s="288" t="s">
        <v>1343</v>
      </c>
    </row>
    <row r="818" spans="1:2" ht="15">
      <c r="A818" s="253">
        <v>1232</v>
      </c>
      <c r="B818" s="248" t="s">
        <v>1344</v>
      </c>
    </row>
    <row r="819" spans="1:2" ht="15">
      <c r="A819" s="253">
        <v>1233</v>
      </c>
      <c r="B819" s="244" t="s">
        <v>1345</v>
      </c>
    </row>
    <row r="820" spans="1:2" ht="22.5">
      <c r="A820" s="253">
        <v>1234</v>
      </c>
      <c r="B820" s="244" t="s">
        <v>1346</v>
      </c>
    </row>
    <row r="821" spans="1:2" ht="22.5">
      <c r="A821" s="253">
        <v>1235</v>
      </c>
      <c r="B821" s="244" t="s">
        <v>1347</v>
      </c>
    </row>
    <row r="822" spans="1:2" ht="22.5">
      <c r="A822" s="253">
        <v>1236</v>
      </c>
      <c r="B822" s="244" t="s">
        <v>1348</v>
      </c>
    </row>
    <row r="823" spans="1:2" ht="22.5">
      <c r="A823" s="253">
        <v>1237</v>
      </c>
      <c r="B823" s="244" t="s">
        <v>1349</v>
      </c>
    </row>
    <row r="824" spans="1:2" ht="15">
      <c r="A824" s="253">
        <v>1238</v>
      </c>
      <c r="B824" s="276" t="s">
        <v>1350</v>
      </c>
    </row>
    <row r="825" spans="1:2" ht="15">
      <c r="A825" s="253">
        <v>1239</v>
      </c>
      <c r="B825" s="279" t="s">
        <v>1351</v>
      </c>
    </row>
    <row r="826" spans="1:2" ht="15">
      <c r="A826" s="253">
        <v>1240</v>
      </c>
      <c r="B826" s="248" t="s">
        <v>1352</v>
      </c>
    </row>
    <row r="827" spans="1:2" ht="22.5">
      <c r="A827" s="253">
        <v>1241</v>
      </c>
      <c r="B827" s="244" t="s">
        <v>1353</v>
      </c>
    </row>
    <row r="828" spans="1:2" ht="15">
      <c r="A828" s="253">
        <v>1242</v>
      </c>
      <c r="B828" s="288" t="s">
        <v>1354</v>
      </c>
    </row>
    <row r="829" spans="1:2" ht="30">
      <c r="A829" s="253">
        <v>1243</v>
      </c>
      <c r="B829" s="270" t="s">
        <v>1355</v>
      </c>
    </row>
    <row r="830" spans="1:2" ht="33.75">
      <c r="A830" s="253">
        <v>1244</v>
      </c>
      <c r="B830" s="244" t="s">
        <v>1356</v>
      </c>
    </row>
    <row r="831" spans="1:2" ht="15">
      <c r="A831" s="253">
        <v>1245</v>
      </c>
      <c r="B831" s="248" t="s">
        <v>1357</v>
      </c>
    </row>
    <row r="832" spans="1:2" ht="22.5">
      <c r="A832" s="253">
        <v>1246</v>
      </c>
      <c r="B832" s="244" t="s">
        <v>1358</v>
      </c>
    </row>
    <row r="833" spans="1:2" ht="15">
      <c r="A833" s="253">
        <v>1247</v>
      </c>
      <c r="B833" s="288" t="s">
        <v>1359</v>
      </c>
    </row>
    <row r="834" spans="1:2" ht="15">
      <c r="A834" s="253">
        <v>1248</v>
      </c>
      <c r="B834" s="244" t="s">
        <v>1360</v>
      </c>
    </row>
    <row r="835" spans="1:2" ht="22.5">
      <c r="A835" s="253">
        <v>1249</v>
      </c>
      <c r="B835" s="244" t="s">
        <v>1361</v>
      </c>
    </row>
    <row r="836" spans="1:2" ht="22.5">
      <c r="A836" s="253">
        <v>1250</v>
      </c>
      <c r="B836" s="244" t="s">
        <v>1362</v>
      </c>
    </row>
    <row r="837" spans="1:2" ht="22.5">
      <c r="A837" s="253">
        <v>1251</v>
      </c>
      <c r="B837" s="244" t="s">
        <v>1363</v>
      </c>
    </row>
    <row r="838" spans="1:2" ht="22.5">
      <c r="A838" s="253">
        <v>1252</v>
      </c>
      <c r="B838" s="244" t="s">
        <v>1364</v>
      </c>
    </row>
    <row r="839" spans="1:2" ht="25.5">
      <c r="A839" s="253">
        <v>1253</v>
      </c>
      <c r="B839" s="248" t="s">
        <v>1365</v>
      </c>
    </row>
    <row r="840" spans="1:2" ht="22.5">
      <c r="A840" s="253">
        <v>1254</v>
      </c>
      <c r="B840" s="244" t="s">
        <v>1366</v>
      </c>
    </row>
    <row r="841" spans="1:2" ht="15">
      <c r="A841" s="253">
        <v>1255</v>
      </c>
      <c r="B841" s="288" t="s">
        <v>1367</v>
      </c>
    </row>
    <row r="842" spans="1:2" ht="30">
      <c r="A842" s="253">
        <v>1256</v>
      </c>
      <c r="B842" s="270" t="s">
        <v>1368</v>
      </c>
    </row>
    <row r="843" spans="1:2" ht="22.5">
      <c r="A843" s="253">
        <v>1257</v>
      </c>
      <c r="B843" s="244" t="s">
        <v>1369</v>
      </c>
    </row>
    <row r="844" spans="1:2" ht="15">
      <c r="A844" s="253">
        <v>1258</v>
      </c>
      <c r="B844" s="248" t="s">
        <v>1370</v>
      </c>
    </row>
    <row r="845" spans="1:2" ht="22.5">
      <c r="A845" s="253">
        <v>1259</v>
      </c>
      <c r="B845" s="244" t="s">
        <v>1371</v>
      </c>
    </row>
    <row r="846" spans="1:2" ht="15">
      <c r="A846" s="253">
        <v>1260</v>
      </c>
      <c r="B846" s="288" t="s">
        <v>1372</v>
      </c>
    </row>
    <row r="847" spans="1:2" ht="15">
      <c r="A847" s="253">
        <v>1261</v>
      </c>
      <c r="B847" s="248" t="s">
        <v>1373</v>
      </c>
    </row>
    <row r="848" spans="1:2" ht="15">
      <c r="A848" s="253">
        <v>1262</v>
      </c>
      <c r="B848" s="244" t="s">
        <v>1374</v>
      </c>
    </row>
    <row r="849" spans="1:2" ht="22.5">
      <c r="A849" s="253">
        <v>1263</v>
      </c>
      <c r="B849" s="244" t="s">
        <v>1375</v>
      </c>
    </row>
    <row r="850" spans="1:2" ht="22.5">
      <c r="A850" s="253">
        <v>1264</v>
      </c>
      <c r="B850" s="244" t="s">
        <v>1376</v>
      </c>
    </row>
    <row r="851" spans="1:2" ht="22.5">
      <c r="A851" s="253">
        <v>1265</v>
      </c>
      <c r="B851" s="244" t="s">
        <v>1377</v>
      </c>
    </row>
    <row r="852" spans="1:2" ht="15">
      <c r="A852" s="253">
        <v>1266</v>
      </c>
      <c r="B852" s="251" t="s">
        <v>1378</v>
      </c>
    </row>
    <row r="853" spans="1:2" ht="15">
      <c r="A853" s="253">
        <v>1267</v>
      </c>
      <c r="B853" s="277" t="s">
        <v>1379</v>
      </c>
    </row>
    <row r="854" spans="1:2" ht="15">
      <c r="A854" s="253">
        <v>1268</v>
      </c>
      <c r="B854" s="279" t="s">
        <v>1380</v>
      </c>
    </row>
    <row r="855" spans="1:2" ht="15">
      <c r="A855" s="253">
        <v>1269</v>
      </c>
      <c r="B855" s="248" t="s">
        <v>1381</v>
      </c>
    </row>
    <row r="856" spans="1:2" ht="22.5">
      <c r="A856" s="253">
        <v>1270</v>
      </c>
      <c r="B856" s="244" t="s">
        <v>1382</v>
      </c>
    </row>
    <row r="857" spans="1:2" ht="15">
      <c r="A857" s="253">
        <v>1271</v>
      </c>
      <c r="B857" s="288" t="s">
        <v>1383</v>
      </c>
    </row>
    <row r="858" spans="1:2" ht="30">
      <c r="A858" s="253">
        <v>1272</v>
      </c>
      <c r="B858" s="270" t="s">
        <v>1384</v>
      </c>
    </row>
    <row r="859" spans="1:2" ht="22.5">
      <c r="A859" s="253">
        <v>1273</v>
      </c>
      <c r="B859" s="244" t="s">
        <v>1385</v>
      </c>
    </row>
    <row r="860" spans="1:2" ht="22.5">
      <c r="A860" s="253">
        <v>1274</v>
      </c>
      <c r="B860" s="244" t="s">
        <v>1386</v>
      </c>
    </row>
    <row r="861" spans="1:2" ht="15">
      <c r="A861" s="253">
        <v>1276</v>
      </c>
      <c r="B861" s="248" t="s">
        <v>1387</v>
      </c>
    </row>
    <row r="862" spans="1:2" ht="15">
      <c r="A862" s="253">
        <v>1278</v>
      </c>
      <c r="B862" s="251" t="s">
        <v>1388</v>
      </c>
    </row>
    <row r="863" spans="1:2" ht="25.5">
      <c r="A863" s="253">
        <v>1279</v>
      </c>
      <c r="B863" s="283" t="s">
        <v>1389</v>
      </c>
    </row>
    <row r="864" spans="1:2" ht="25.5">
      <c r="A864" s="253">
        <v>1280</v>
      </c>
      <c r="B864" s="248" t="s">
        <v>1390</v>
      </c>
    </row>
    <row r="865" spans="1:2" ht="15">
      <c r="A865" s="253">
        <v>1281</v>
      </c>
      <c r="B865" s="244" t="s">
        <v>1391</v>
      </c>
    </row>
    <row r="866" spans="1:2" ht="15.75">
      <c r="A866" s="253">
        <v>1282</v>
      </c>
      <c r="B866" s="250" t="s">
        <v>1392</v>
      </c>
    </row>
    <row r="867" spans="1:2" ht="30">
      <c r="A867" s="253">
        <v>1283</v>
      </c>
      <c r="B867" s="270" t="s">
        <v>1393</v>
      </c>
    </row>
    <row r="868" spans="1:2" ht="22.5">
      <c r="A868" s="253">
        <v>1284</v>
      </c>
      <c r="B868" s="244" t="s">
        <v>1394</v>
      </c>
    </row>
    <row r="869" spans="1:2" ht="22.5">
      <c r="A869" s="253">
        <v>1285</v>
      </c>
      <c r="B869" s="244" t="s">
        <v>1395</v>
      </c>
    </row>
    <row r="870" spans="1:2" ht="22.5">
      <c r="A870" s="253">
        <v>1286</v>
      </c>
      <c r="B870" s="244" t="s">
        <v>1396</v>
      </c>
    </row>
    <row r="871" spans="1:2" ht="15">
      <c r="A871" s="253">
        <v>1287</v>
      </c>
      <c r="B871" s="277" t="s">
        <v>1293</v>
      </c>
    </row>
    <row r="872" spans="1:2" ht="25.5">
      <c r="A872" s="253">
        <v>1288</v>
      </c>
      <c r="B872" s="248" t="s">
        <v>1397</v>
      </c>
    </row>
    <row r="873" spans="1:2" ht="22.5">
      <c r="A873" s="253">
        <v>1289</v>
      </c>
      <c r="B873" s="244" t="s">
        <v>1398</v>
      </c>
    </row>
    <row r="874" spans="1:2" ht="21">
      <c r="A874" s="253">
        <v>1290</v>
      </c>
      <c r="B874" s="245" t="s">
        <v>1399</v>
      </c>
    </row>
    <row r="875" spans="1:2" ht="21">
      <c r="A875" s="253">
        <v>1291</v>
      </c>
      <c r="B875" s="245" t="s">
        <v>1400</v>
      </c>
    </row>
    <row r="876" spans="1:2" ht="15">
      <c r="A876" s="253">
        <v>1292</v>
      </c>
      <c r="B876" s="288" t="s">
        <v>1401</v>
      </c>
    </row>
    <row r="877" spans="1:2" ht="30">
      <c r="A877" s="253">
        <v>1293</v>
      </c>
      <c r="B877" s="270" t="s">
        <v>1402</v>
      </c>
    </row>
    <row r="878" spans="1:2" ht="22.5">
      <c r="A878" s="253">
        <v>1294</v>
      </c>
      <c r="B878" s="244" t="s">
        <v>1403</v>
      </c>
    </row>
    <row r="879" spans="1:2" ht="21">
      <c r="A879" s="253">
        <v>1295</v>
      </c>
      <c r="B879" s="245" t="s">
        <v>1404</v>
      </c>
    </row>
    <row r="880" spans="1:2" ht="15">
      <c r="A880" s="253">
        <v>1296</v>
      </c>
      <c r="B880" s="248" t="s">
        <v>1405</v>
      </c>
    </row>
    <row r="881" spans="1:2" ht="22.5">
      <c r="A881" s="253">
        <v>1297</v>
      </c>
      <c r="B881" s="244" t="s">
        <v>1406</v>
      </c>
    </row>
    <row r="882" spans="1:2" ht="21">
      <c r="A882" s="253">
        <v>1298</v>
      </c>
      <c r="B882" s="245" t="s">
        <v>1407</v>
      </c>
    </row>
    <row r="883" spans="1:2" ht="15">
      <c r="A883" s="253">
        <v>1299</v>
      </c>
      <c r="B883" s="288" t="s">
        <v>1408</v>
      </c>
    </row>
    <row r="884" spans="1:2" ht="15">
      <c r="A884" s="253">
        <v>1300</v>
      </c>
      <c r="B884" s="248" t="s">
        <v>1409</v>
      </c>
    </row>
    <row r="885" spans="1:2" ht="33.75">
      <c r="A885" s="253">
        <v>1301</v>
      </c>
      <c r="B885" s="244" t="s">
        <v>1410</v>
      </c>
    </row>
    <row r="886" spans="1:2" ht="22.5">
      <c r="A886" s="253">
        <v>1302</v>
      </c>
      <c r="B886" s="244" t="s">
        <v>1411</v>
      </c>
    </row>
    <row r="887" spans="1:2" ht="15">
      <c r="A887" s="253">
        <v>1303</v>
      </c>
      <c r="B887" s="288" t="s">
        <v>1412</v>
      </c>
    </row>
    <row r="888" spans="1:2" ht="25.5">
      <c r="A888" s="253">
        <v>1304</v>
      </c>
      <c r="B888" s="248" t="s">
        <v>1413</v>
      </c>
    </row>
    <row r="889" spans="1:2" ht="22.5">
      <c r="A889" s="253">
        <v>1305</v>
      </c>
      <c r="B889" s="244" t="s">
        <v>1414</v>
      </c>
    </row>
    <row r="890" spans="1:2" ht="15">
      <c r="A890" s="253">
        <v>1306</v>
      </c>
      <c r="B890" s="244" t="s">
        <v>1415</v>
      </c>
    </row>
    <row r="891" spans="1:2" ht="15">
      <c r="A891" s="253">
        <v>1307</v>
      </c>
      <c r="B891" s="288" t="s">
        <v>1416</v>
      </c>
    </row>
    <row r="892" spans="1:2" ht="30">
      <c r="A892" s="253">
        <v>1308</v>
      </c>
      <c r="B892" s="270" t="s">
        <v>1417</v>
      </c>
    </row>
    <row r="893" spans="1:2" ht="22.5">
      <c r="A893" s="253">
        <v>1309</v>
      </c>
      <c r="B893" s="244" t="s">
        <v>1418</v>
      </c>
    </row>
    <row r="894" spans="1:2" ht="21">
      <c r="A894" s="253">
        <v>1310</v>
      </c>
      <c r="B894" s="245" t="s">
        <v>1404</v>
      </c>
    </row>
    <row r="895" spans="1:2" ht="15">
      <c r="A895" s="253">
        <v>1311</v>
      </c>
      <c r="B895" s="248" t="s">
        <v>1419</v>
      </c>
    </row>
    <row r="896" spans="1:2" ht="22.5">
      <c r="A896" s="253">
        <v>1312</v>
      </c>
      <c r="B896" s="244" t="s">
        <v>1420</v>
      </c>
    </row>
    <row r="897" spans="1:2" ht="15">
      <c r="A897" s="253">
        <v>1313</v>
      </c>
      <c r="B897" s="288" t="s">
        <v>1421</v>
      </c>
    </row>
    <row r="898" spans="1:2" ht="22.5">
      <c r="A898" s="253">
        <v>1314</v>
      </c>
      <c r="B898" s="244" t="s">
        <v>1422</v>
      </c>
    </row>
    <row r="899" spans="1:2" ht="25.5">
      <c r="A899" s="253">
        <v>1315</v>
      </c>
      <c r="B899" s="248" t="s">
        <v>1423</v>
      </c>
    </row>
    <row r="900" spans="1:2" ht="22.5">
      <c r="A900" s="253">
        <v>1316</v>
      </c>
      <c r="B900" s="244" t="s">
        <v>1424</v>
      </c>
    </row>
    <row r="901" spans="1:2" ht="15">
      <c r="A901" s="253">
        <v>1317</v>
      </c>
      <c r="B901" s="288" t="s">
        <v>1425</v>
      </c>
    </row>
    <row r="902" spans="1:2" ht="15.75">
      <c r="A902" s="253">
        <v>1318</v>
      </c>
      <c r="B902" s="250" t="s">
        <v>770</v>
      </c>
    </row>
    <row r="903" spans="1:2" ht="30">
      <c r="A903" s="253">
        <v>1319</v>
      </c>
      <c r="B903" s="270" t="s">
        <v>1426</v>
      </c>
    </row>
    <row r="904" spans="1:2" ht="22.5">
      <c r="A904" s="253">
        <v>1320</v>
      </c>
      <c r="B904" s="244" t="s">
        <v>1427</v>
      </c>
    </row>
    <row r="905" spans="1:2" ht="15">
      <c r="A905" s="253">
        <v>1321</v>
      </c>
      <c r="B905" s="248" t="s">
        <v>1428</v>
      </c>
    </row>
    <row r="906" spans="1:2" ht="22.5">
      <c r="A906" s="253">
        <v>1322</v>
      </c>
      <c r="B906" s="244" t="s">
        <v>1429</v>
      </c>
    </row>
    <row r="907" spans="1:2" ht="22.5">
      <c r="A907" s="253">
        <v>1323</v>
      </c>
      <c r="B907" s="244" t="s">
        <v>1430</v>
      </c>
    </row>
    <row r="908" spans="1:2" ht="15">
      <c r="A908" s="253">
        <v>1324</v>
      </c>
      <c r="B908" s="276" t="s">
        <v>1431</v>
      </c>
    </row>
    <row r="909" spans="1:2" ht="15">
      <c r="A909" s="253">
        <v>1325</v>
      </c>
      <c r="B909" s="277" t="s">
        <v>1432</v>
      </c>
    </row>
    <row r="910" spans="1:2" ht="15">
      <c r="A910" s="253">
        <v>1326</v>
      </c>
      <c r="B910" s="277" t="s">
        <v>1433</v>
      </c>
    </row>
    <row r="911" spans="1:2" ht="15">
      <c r="A911" s="253">
        <v>1327</v>
      </c>
      <c r="B911" s="279" t="s">
        <v>1434</v>
      </c>
    </row>
    <row r="912" spans="1:2" ht="15">
      <c r="A912" s="253">
        <v>1328</v>
      </c>
      <c r="B912" s="288" t="s">
        <v>1435</v>
      </c>
    </row>
    <row r="913" spans="1:2" ht="25.5">
      <c r="A913" s="253">
        <v>1329</v>
      </c>
      <c r="B913" s="248" t="s">
        <v>1436</v>
      </c>
    </row>
    <row r="914" spans="1:2" ht="22.5">
      <c r="A914" s="253">
        <v>1330</v>
      </c>
      <c r="B914" s="244" t="s">
        <v>1437</v>
      </c>
    </row>
    <row r="915" spans="1:2" ht="15">
      <c r="A915" s="253">
        <v>1331</v>
      </c>
      <c r="B915" s="288" t="s">
        <v>1438</v>
      </c>
    </row>
    <row r="916" spans="1:2" ht="15.75">
      <c r="A916" s="253">
        <v>1332</v>
      </c>
      <c r="B916" s="250" t="s">
        <v>1439</v>
      </c>
    </row>
    <row r="917" spans="1:2" ht="30">
      <c r="A917" s="253">
        <v>1333</v>
      </c>
      <c r="B917" s="270" t="s">
        <v>1440</v>
      </c>
    </row>
    <row r="918" spans="1:2" ht="22.5">
      <c r="A918" s="253">
        <v>1334</v>
      </c>
      <c r="B918" s="244" t="s">
        <v>1441</v>
      </c>
    </row>
    <row r="919" spans="1:2" ht="15">
      <c r="A919" s="253">
        <v>1335</v>
      </c>
      <c r="B919" s="244" t="s">
        <v>1442</v>
      </c>
    </row>
    <row r="920" spans="1:2" ht="22.5">
      <c r="A920" s="253">
        <v>1336</v>
      </c>
      <c r="B920" s="244" t="s">
        <v>1443</v>
      </c>
    </row>
    <row r="921" spans="1:2" ht="22.5">
      <c r="A921" s="253">
        <v>1337</v>
      </c>
      <c r="B921" s="244" t="s">
        <v>1444</v>
      </c>
    </row>
    <row r="922" spans="1:2" ht="22.5">
      <c r="A922" s="253">
        <v>1338</v>
      </c>
      <c r="B922" s="244" t="s">
        <v>1445</v>
      </c>
    </row>
    <row r="923" spans="1:2" ht="15">
      <c r="A923" s="253">
        <v>1339</v>
      </c>
      <c r="B923" s="248" t="s">
        <v>1446</v>
      </c>
    </row>
    <row r="924" spans="1:2" ht="15">
      <c r="A924" s="253">
        <v>1340</v>
      </c>
      <c r="B924" s="244" t="s">
        <v>1447</v>
      </c>
    </row>
    <row r="925" spans="1:2" ht="15.75" thickBot="1">
      <c r="A925" s="253">
        <v>1343</v>
      </c>
      <c r="B925" s="279" t="s">
        <v>1448</v>
      </c>
    </row>
    <row r="926" spans="1:2" ht="25.5">
      <c r="A926" s="253">
        <v>1344</v>
      </c>
      <c r="B926" s="265" t="s">
        <v>1449</v>
      </c>
    </row>
    <row r="927" spans="1:2" ht="18">
      <c r="A927" s="253">
        <v>1345</v>
      </c>
      <c r="B927" s="609" t="s">
        <v>1450</v>
      </c>
    </row>
    <row r="928" spans="1:2" ht="16.5" thickBot="1">
      <c r="A928" s="253">
        <v>1346</v>
      </c>
      <c r="B928" s="12" t="s">
        <v>1451</v>
      </c>
    </row>
    <row r="929" spans="1:2" ht="25.5">
      <c r="A929" s="253">
        <v>1347</v>
      </c>
      <c r="B929" s="265" t="s">
        <v>1452</v>
      </c>
    </row>
    <row r="930" spans="1:2" ht="36">
      <c r="A930" s="253">
        <v>1348</v>
      </c>
      <c r="B930" s="260" t="s">
        <v>1453</v>
      </c>
    </row>
    <row r="931" spans="1:2" ht="15.75">
      <c r="A931" s="253">
        <v>1349</v>
      </c>
      <c r="B931" s="250" t="s">
        <v>1454</v>
      </c>
    </row>
    <row r="932" spans="1:2" ht="30">
      <c r="A932" s="253">
        <v>1350</v>
      </c>
      <c r="B932" s="270" t="s">
        <v>1455</v>
      </c>
    </row>
    <row r="933" spans="1:2" ht="22.5">
      <c r="A933" s="253">
        <v>1351</v>
      </c>
      <c r="B933" s="244" t="s">
        <v>1456</v>
      </c>
    </row>
    <row r="934" spans="1:2" ht="15">
      <c r="A934" s="253">
        <v>1352</v>
      </c>
      <c r="B934" s="244" t="s">
        <v>1457</v>
      </c>
    </row>
    <row r="935" spans="1:2" ht="22.5">
      <c r="A935" s="253">
        <v>1353</v>
      </c>
      <c r="B935" s="244" t="s">
        <v>1458</v>
      </c>
    </row>
    <row r="936" spans="1:2" ht="22.5">
      <c r="A936" s="253">
        <v>1354</v>
      </c>
      <c r="B936" s="244" t="s">
        <v>1459</v>
      </c>
    </row>
    <row r="937" spans="1:2" ht="22.5">
      <c r="A937" s="253">
        <v>1355</v>
      </c>
      <c r="B937" s="244" t="s">
        <v>1460</v>
      </c>
    </row>
    <row r="938" spans="1:2" ht="33.75">
      <c r="A938" s="253">
        <v>1357</v>
      </c>
      <c r="B938" s="304" t="s">
        <v>1461</v>
      </c>
    </row>
    <row r="939" spans="1:2" ht="15">
      <c r="A939" s="253">
        <v>1358</v>
      </c>
      <c r="B939" s="251" t="s">
        <v>1462</v>
      </c>
    </row>
    <row r="940" spans="1:2" ht="15">
      <c r="A940" s="253">
        <v>1359</v>
      </c>
      <c r="B940" s="303" t="s">
        <v>1463</v>
      </c>
    </row>
    <row r="941" spans="1:2" ht="15.75">
      <c r="A941" s="253">
        <v>1361</v>
      </c>
      <c r="B941" s="250" t="s">
        <v>1464</v>
      </c>
    </row>
    <row r="942" spans="1:2" ht="45.75" thickBot="1">
      <c r="A942" s="253">
        <v>1362</v>
      </c>
      <c r="B942" s="252" t="s">
        <v>1465</v>
      </c>
    </row>
    <row r="943" spans="1:2" ht="26.25" thickBot="1">
      <c r="A943" s="253">
        <v>1363</v>
      </c>
      <c r="B943" s="265" t="s">
        <v>1466</v>
      </c>
    </row>
    <row r="944" spans="1:2" ht="15.75" thickBot="1">
      <c r="A944" s="253">
        <v>1364</v>
      </c>
      <c r="B944" s="266" t="s">
        <v>1467</v>
      </c>
    </row>
    <row r="945" spans="1:2" ht="15.75" thickBot="1">
      <c r="A945" s="253">
        <v>1366</v>
      </c>
      <c r="B945" s="267" t="s">
        <v>1468</v>
      </c>
    </row>
    <row r="946" spans="1:2" ht="15">
      <c r="A946" s="253">
        <v>1367</v>
      </c>
      <c r="B946" s="267" t="s">
        <v>1469</v>
      </c>
    </row>
    <row r="947" spans="1:2" ht="15">
      <c r="A947" s="253">
        <v>1368</v>
      </c>
      <c r="B947" s="268" t="s">
        <v>1470</v>
      </c>
    </row>
    <row r="948" spans="1:2" ht="18">
      <c r="A948" s="253">
        <v>1370</v>
      </c>
      <c r="B948" s="609" t="s">
        <v>1471</v>
      </c>
    </row>
    <row r="949" spans="1:2" ht="15">
      <c r="A949" s="253">
        <v>1372</v>
      </c>
      <c r="B949" s="595" t="s">
        <v>1472</v>
      </c>
    </row>
    <row r="950" spans="1:2" ht="15">
      <c r="A950" s="253">
        <v>1373</v>
      </c>
      <c r="B950" s="595" t="s">
        <v>1473</v>
      </c>
    </row>
    <row r="951" spans="1:2" ht="15">
      <c r="A951" s="253">
        <v>1374</v>
      </c>
      <c r="B951" s="305" t="s">
        <v>1474</v>
      </c>
    </row>
    <row r="952" spans="1:2" ht="15">
      <c r="A952" s="253">
        <v>1375</v>
      </c>
      <c r="B952" s="595" t="s">
        <v>1475</v>
      </c>
    </row>
    <row r="953" spans="1:2" ht="15">
      <c r="A953" s="253">
        <v>1377</v>
      </c>
      <c r="B953" s="305" t="s">
        <v>1476</v>
      </c>
    </row>
    <row r="954" spans="1:2" ht="15">
      <c r="A954" s="253">
        <v>1379</v>
      </c>
      <c r="B954" s="595" t="s">
        <v>1477</v>
      </c>
    </row>
    <row r="955" spans="1:2" ht="15">
      <c r="A955" s="253">
        <v>1380</v>
      </c>
      <c r="B955" s="595" t="s">
        <v>1478</v>
      </c>
    </row>
    <row r="956" spans="1:2" ht="15">
      <c r="A956" s="253">
        <v>1381</v>
      </c>
      <c r="B956" s="305" t="s">
        <v>1479</v>
      </c>
    </row>
    <row r="957" spans="1:2" ht="15">
      <c r="A957" s="253">
        <v>1382</v>
      </c>
      <c r="B957" s="595" t="s">
        <v>1480</v>
      </c>
    </row>
    <row r="958" spans="1:2" ht="15">
      <c r="A958" s="253">
        <v>1384</v>
      </c>
      <c r="B958" s="545" t="s">
        <v>1481</v>
      </c>
    </row>
    <row r="959" spans="1:2" ht="15">
      <c r="A959" s="253">
        <v>1385</v>
      </c>
      <c r="B959" s="545" t="s">
        <v>1482</v>
      </c>
    </row>
    <row r="960" spans="1:2" ht="15">
      <c r="A960" s="253">
        <v>1386</v>
      </c>
      <c r="B960" s="545" t="s">
        <v>992</v>
      </c>
    </row>
    <row r="961" spans="1:2" ht="30">
      <c r="A961" s="253">
        <v>1388</v>
      </c>
      <c r="B961" s="270" t="s">
        <v>1483</v>
      </c>
    </row>
    <row r="962" spans="1:2" ht="15">
      <c r="A962" s="253">
        <v>1389</v>
      </c>
      <c r="B962" s="306" t="s">
        <v>1484</v>
      </c>
    </row>
    <row r="963" spans="1:2" ht="15">
      <c r="A963" s="253">
        <v>1390</v>
      </c>
      <c r="B963" s="306" t="s">
        <v>1485</v>
      </c>
    </row>
    <row r="964" spans="1:2" ht="15">
      <c r="A964" s="253">
        <v>1391</v>
      </c>
      <c r="B964" s="306" t="s">
        <v>1486</v>
      </c>
    </row>
    <row r="965" spans="1:2" ht="15">
      <c r="A965" s="253">
        <v>1392</v>
      </c>
      <c r="B965" s="306" t="s">
        <v>1487</v>
      </c>
    </row>
    <row r="966" spans="1:2" ht="25.5">
      <c r="A966" s="253">
        <v>1393</v>
      </c>
      <c r="B966" s="275" t="s">
        <v>1488</v>
      </c>
    </row>
    <row r="967" spans="1:2" ht="22.5">
      <c r="A967" s="253">
        <v>1394</v>
      </c>
      <c r="B967" s="307" t="s">
        <v>1489</v>
      </c>
    </row>
    <row r="968" spans="1:2" ht="15">
      <c r="A968" s="253">
        <v>1395</v>
      </c>
      <c r="B968" s="308" t="s">
        <v>1490</v>
      </c>
    </row>
    <row r="969" spans="1:2" ht="22.5">
      <c r="A969" s="253">
        <v>1396</v>
      </c>
      <c r="B969" s="308" t="s">
        <v>1491</v>
      </c>
    </row>
    <row r="970" spans="1:2" ht="15">
      <c r="A970" s="253">
        <v>1397</v>
      </c>
      <c r="B970" s="309" t="s">
        <v>189</v>
      </c>
    </row>
    <row r="971" spans="1:2" ht="15">
      <c r="A971" s="253">
        <v>1398</v>
      </c>
      <c r="B971" s="308" t="s">
        <v>1492</v>
      </c>
    </row>
    <row r="972" spans="1:2" ht="22.5">
      <c r="A972" s="253">
        <v>1399</v>
      </c>
      <c r="B972" s="308" t="s">
        <v>1493</v>
      </c>
    </row>
    <row r="973" spans="1:2" ht="21">
      <c r="A973" s="253">
        <v>1400</v>
      </c>
      <c r="B973" s="310" t="s">
        <v>1494</v>
      </c>
    </row>
    <row r="974" spans="1:2" ht="15">
      <c r="A974" s="253">
        <v>1403</v>
      </c>
      <c r="B974" s="101" t="s">
        <v>1495</v>
      </c>
    </row>
    <row r="975" spans="1:2" ht="15.75">
      <c r="A975" s="253">
        <v>1405</v>
      </c>
      <c r="B975" s="12" t="s">
        <v>1468</v>
      </c>
    </row>
    <row r="976" spans="1:2" ht="30">
      <c r="A976" s="253">
        <v>1406</v>
      </c>
      <c r="B976" s="270" t="s">
        <v>1496</v>
      </c>
    </row>
    <row r="977" spans="1:2" ht="15">
      <c r="A977" s="253">
        <v>1407</v>
      </c>
      <c r="B977" s="270" t="s">
        <v>1497</v>
      </c>
    </row>
    <row r="978" spans="1:2" ht="30">
      <c r="A978" s="253">
        <v>1408</v>
      </c>
      <c r="B978" s="270" t="s">
        <v>1498</v>
      </c>
    </row>
    <row r="979" spans="1:2" ht="15">
      <c r="A979" s="253">
        <v>1409</v>
      </c>
      <c r="B979" s="288" t="s">
        <v>1055</v>
      </c>
    </row>
    <row r="980" spans="1:2" ht="15">
      <c r="A980" s="253">
        <v>1410</v>
      </c>
      <c r="B980" s="599" t="s">
        <v>1499</v>
      </c>
    </row>
    <row r="981" spans="1:2" ht="30">
      <c r="A981" s="253">
        <v>1411</v>
      </c>
      <c r="B981" s="270" t="s">
        <v>1500</v>
      </c>
    </row>
    <row r="982" spans="1:2" ht="15">
      <c r="A982" s="253">
        <v>1412</v>
      </c>
      <c r="B982" s="270" t="s">
        <v>1501</v>
      </c>
    </row>
    <row r="983" spans="1:2" ht="25.5">
      <c r="A983" s="253">
        <v>1413</v>
      </c>
      <c r="B983" s="288" t="s">
        <v>1502</v>
      </c>
    </row>
    <row r="984" spans="1:2" ht="15">
      <c r="A984" s="253">
        <v>1414</v>
      </c>
      <c r="B984" s="610" t="s">
        <v>1503</v>
      </c>
    </row>
    <row r="985" spans="1:2" ht="15.75">
      <c r="A985" s="253">
        <v>1421</v>
      </c>
      <c r="B985" s="12" t="s">
        <v>1504</v>
      </c>
    </row>
    <row r="986" spans="1:2" ht="45">
      <c r="A986" s="253">
        <v>1422</v>
      </c>
      <c r="B986" s="244" t="s">
        <v>1505</v>
      </c>
    </row>
    <row r="987" spans="1:2" ht="15">
      <c r="A987" s="253">
        <v>1423</v>
      </c>
      <c r="B987" s="311" t="s">
        <v>1506</v>
      </c>
    </row>
    <row r="988" spans="1:2" ht="15">
      <c r="A988" s="253">
        <v>1424</v>
      </c>
      <c r="B988" s="611" t="s">
        <v>1507</v>
      </c>
    </row>
    <row r="989" spans="1:2" ht="22.5">
      <c r="A989" s="253">
        <v>1425</v>
      </c>
      <c r="B989" s="312" t="s">
        <v>1508</v>
      </c>
    </row>
    <row r="990" spans="1:2" ht="15">
      <c r="A990" s="253">
        <v>1426</v>
      </c>
      <c r="B990" s="611" t="s">
        <v>1509</v>
      </c>
    </row>
    <row r="991" spans="1:2" ht="15">
      <c r="A991" s="253">
        <v>1427</v>
      </c>
      <c r="B991" s="312" t="s">
        <v>1510</v>
      </c>
    </row>
    <row r="992" spans="1:2" ht="15">
      <c r="A992" s="253">
        <v>1428</v>
      </c>
      <c r="B992" s="611" t="s">
        <v>1511</v>
      </c>
    </row>
    <row r="993" spans="1:2" ht="15">
      <c r="A993" s="253">
        <v>1429</v>
      </c>
      <c r="B993" s="312" t="s">
        <v>1512</v>
      </c>
    </row>
    <row r="994" spans="1:2" ht="15">
      <c r="A994" s="253">
        <v>1432</v>
      </c>
      <c r="B994" s="312" t="s">
        <v>1513</v>
      </c>
    </row>
    <row r="995" spans="1:2" ht="22.5">
      <c r="A995" s="253">
        <v>1442</v>
      </c>
      <c r="B995" s="312" t="s">
        <v>1514</v>
      </c>
    </row>
    <row r="996" spans="1:2" ht="22.5">
      <c r="A996" s="253">
        <v>1443</v>
      </c>
      <c r="B996" s="312" t="s">
        <v>1515</v>
      </c>
    </row>
    <row r="997" spans="1:2" ht="15">
      <c r="A997" s="253">
        <v>1444</v>
      </c>
      <c r="B997" s="611" t="s">
        <v>1516</v>
      </c>
    </row>
    <row r="998" spans="1:2" ht="22.5">
      <c r="A998" s="253">
        <v>1445</v>
      </c>
      <c r="B998" s="312" t="s">
        <v>1517</v>
      </c>
    </row>
    <row r="999" spans="1:2" ht="22.5">
      <c r="A999" s="253">
        <v>1446</v>
      </c>
      <c r="B999" s="312" t="s">
        <v>1518</v>
      </c>
    </row>
    <row r="1000" spans="1:2" ht="22.5">
      <c r="A1000" s="253">
        <v>1447</v>
      </c>
      <c r="B1000" s="312" t="s">
        <v>1519</v>
      </c>
    </row>
    <row r="1001" spans="1:2" ht="15">
      <c r="A1001" s="253">
        <v>1451</v>
      </c>
      <c r="B1001" s="612" t="s">
        <v>1520</v>
      </c>
    </row>
    <row r="1002" spans="1:2" ht="15">
      <c r="A1002" s="253">
        <v>1452</v>
      </c>
      <c r="B1002" s="613" t="s">
        <v>1521</v>
      </c>
    </row>
    <row r="1003" spans="1:2" ht="15">
      <c r="A1003" s="253">
        <v>1453</v>
      </c>
      <c r="B1003" s="614" t="s">
        <v>1522</v>
      </c>
    </row>
    <row r="1004" spans="1:2" ht="15.75" thickBot="1">
      <c r="A1004" s="253">
        <v>1472</v>
      </c>
      <c r="B1004" s="612" t="s">
        <v>1523</v>
      </c>
    </row>
    <row r="1005" spans="1:2" ht="15.75" thickBot="1">
      <c r="A1005" s="253">
        <v>1475</v>
      </c>
      <c r="B1005" s="615" t="s">
        <v>1524</v>
      </c>
    </row>
    <row r="1006" spans="1:2" ht="15">
      <c r="A1006" s="253">
        <v>1477</v>
      </c>
      <c r="B1006" s="610" t="s">
        <v>1525</v>
      </c>
    </row>
    <row r="1007" spans="1:2" ht="15.75" thickBot="1">
      <c r="A1007" s="253">
        <v>1479</v>
      </c>
      <c r="B1007" s="612" t="s">
        <v>1526</v>
      </c>
    </row>
    <row r="1008" spans="1:2" ht="39" thickBot="1">
      <c r="A1008" s="253">
        <v>1486</v>
      </c>
      <c r="B1008" s="313" t="s">
        <v>1527</v>
      </c>
    </row>
    <row r="1009" spans="1:2" ht="15">
      <c r="A1009" s="253">
        <v>1505</v>
      </c>
      <c r="B1009" s="239" t="s">
        <v>1528</v>
      </c>
    </row>
    <row r="1010" spans="1:2" ht="15">
      <c r="A1010" s="385">
        <v>1506</v>
      </c>
      <c r="B1010" s="155" t="s">
        <v>1529</v>
      </c>
    </row>
    <row r="1011" spans="1:2" ht="15">
      <c r="A1011" s="385">
        <v>1507</v>
      </c>
      <c r="B1011" s="319" t="s">
        <v>1530</v>
      </c>
    </row>
    <row r="1012" spans="1:2" ht="15">
      <c r="A1012" s="385">
        <v>1508</v>
      </c>
      <c r="B1012" s="319" t="s">
        <v>1531</v>
      </c>
    </row>
    <row r="1013" spans="1:11" s="383" customFormat="1" ht="15.75" thickBot="1">
      <c r="A1013" s="385" t="s">
        <v>54</v>
      </c>
      <c r="B1013" s="616"/>
      <c r="C1013" s="155"/>
      <c r="D1013" s="386"/>
      <c r="E1013" s="386"/>
      <c r="F1013" s="386"/>
      <c r="G1013" s="386"/>
      <c r="H1013" s="386"/>
      <c r="I1013" s="386"/>
      <c r="J1013" s="386"/>
      <c r="K1013" s="386"/>
    </row>
    <row r="1014" spans="1:2" ht="79.5" thickBot="1">
      <c r="A1014" s="384">
        <v>2000</v>
      </c>
      <c r="B1014" s="619" t="s">
        <v>1532</v>
      </c>
    </row>
    <row r="1015" spans="1:2" ht="64.5" thickBot="1">
      <c r="A1015" s="384">
        <v>2001</v>
      </c>
      <c r="B1015" s="620" t="s">
        <v>1533</v>
      </c>
    </row>
    <row r="1016" spans="1:2" ht="39" thickBot="1">
      <c r="A1016" s="384">
        <v>2002</v>
      </c>
      <c r="B1016" s="620" t="s">
        <v>1534</v>
      </c>
    </row>
    <row r="1017" spans="1:2" ht="15.75" thickBot="1">
      <c r="A1017" s="384">
        <v>2003</v>
      </c>
      <c r="B1017" s="617" t="s">
        <v>1535</v>
      </c>
    </row>
    <row r="1018" spans="1:2" ht="51.75" thickBot="1">
      <c r="A1018" s="384">
        <v>2004</v>
      </c>
      <c r="B1018" s="620" t="s">
        <v>1536</v>
      </c>
    </row>
    <row r="1019" spans="1:2" ht="39" thickBot="1">
      <c r="A1019" s="384">
        <v>2005</v>
      </c>
      <c r="B1019" s="620" t="s">
        <v>1537</v>
      </c>
    </row>
    <row r="1020" spans="1:2" ht="90" thickBot="1">
      <c r="A1020" s="384">
        <v>2006</v>
      </c>
      <c r="B1020" s="620" t="s">
        <v>1538</v>
      </c>
    </row>
    <row r="1021" spans="1:2" ht="51.75" thickBot="1">
      <c r="A1021" s="384">
        <v>2007</v>
      </c>
      <c r="B1021" s="620" t="s">
        <v>1539</v>
      </c>
    </row>
    <row r="1022" spans="1:2" ht="54.75" thickBot="1">
      <c r="A1022" s="384">
        <v>2008</v>
      </c>
      <c r="B1022" s="621" t="s">
        <v>1540</v>
      </c>
    </row>
    <row r="1023" spans="1:2" ht="39" thickBot="1">
      <c r="A1023" s="384">
        <v>2009</v>
      </c>
      <c r="B1023" s="620" t="s">
        <v>1541</v>
      </c>
    </row>
    <row r="1024" spans="1:2" ht="15.75" thickBot="1">
      <c r="A1024" s="384">
        <v>2010</v>
      </c>
      <c r="B1024" s="622" t="s">
        <v>1542</v>
      </c>
    </row>
    <row r="1025" spans="1:2" ht="15.75" thickBot="1">
      <c r="A1025" s="384">
        <v>2011</v>
      </c>
      <c r="B1025" s="618" t="s">
        <v>478</v>
      </c>
    </row>
    <row r="1026" spans="1:2" ht="15.75" thickBot="1">
      <c r="A1026" s="384">
        <v>2012</v>
      </c>
      <c r="B1026" s="623" t="s">
        <v>1543</v>
      </c>
    </row>
    <row r="1027" spans="1:2" ht="15.75" thickBot="1">
      <c r="A1027" s="384">
        <v>2013</v>
      </c>
      <c r="B1027" s="623" t="s">
        <v>1544</v>
      </c>
    </row>
    <row r="1028" spans="1:2" ht="15.75" thickBot="1">
      <c r="A1028" s="384">
        <v>2014</v>
      </c>
      <c r="B1028" s="623" t="s">
        <v>1545</v>
      </c>
    </row>
    <row r="1029" spans="1:2" ht="15.75" thickBot="1">
      <c r="A1029" s="384">
        <v>2015</v>
      </c>
      <c r="B1029" s="624" t="s">
        <v>1546</v>
      </c>
    </row>
    <row r="1030" spans="1:2" ht="15.75" thickBot="1">
      <c r="A1030" s="384">
        <v>2016</v>
      </c>
      <c r="B1030" s="623" t="s">
        <v>1547</v>
      </c>
    </row>
    <row r="1031" spans="1:2" ht="54.75" thickBot="1">
      <c r="A1031" s="384">
        <v>2017</v>
      </c>
      <c r="B1031" s="625" t="s">
        <v>1548</v>
      </c>
    </row>
    <row r="1032" spans="1:2" ht="23.25" thickBot="1">
      <c r="A1032" s="384">
        <v>2018</v>
      </c>
      <c r="B1032" s="626" t="s">
        <v>1549</v>
      </c>
    </row>
    <row r="1033" spans="1:2" ht="34.5" thickBot="1">
      <c r="A1033" s="384">
        <v>2019</v>
      </c>
      <c r="B1033" s="626" t="s">
        <v>1550</v>
      </c>
    </row>
    <row r="1034" spans="1:2" ht="23.25" thickBot="1">
      <c r="A1034" s="384">
        <v>2020</v>
      </c>
      <c r="B1034" s="626" t="s">
        <v>1551</v>
      </c>
    </row>
    <row r="1035" spans="1:2" ht="45.75" thickBot="1">
      <c r="A1035" s="384">
        <v>2021</v>
      </c>
      <c r="B1035" s="626" t="s">
        <v>1552</v>
      </c>
    </row>
    <row r="1036" spans="1:2" ht="15.75" thickBot="1">
      <c r="A1036" s="384">
        <v>2022</v>
      </c>
      <c r="B1036" s="627" t="s">
        <v>1553</v>
      </c>
    </row>
    <row r="1037" spans="1:2" ht="15.75" thickBot="1">
      <c r="A1037" s="384">
        <v>2023</v>
      </c>
      <c r="B1037" s="628" t="s">
        <v>1554</v>
      </c>
    </row>
    <row r="1038" spans="1:2" ht="26.25" thickBot="1">
      <c r="A1038" s="384">
        <v>2024</v>
      </c>
      <c r="B1038" s="629" t="s">
        <v>1555</v>
      </c>
    </row>
    <row r="1039" spans="1:2" ht="57" thickBot="1">
      <c r="A1039" s="384">
        <v>2025</v>
      </c>
      <c r="B1039" s="626" t="s">
        <v>1556</v>
      </c>
    </row>
    <row r="1040" spans="1:2" ht="15.75" thickBot="1">
      <c r="A1040" s="384">
        <v>2026</v>
      </c>
      <c r="B1040" s="629" t="s">
        <v>1557</v>
      </c>
    </row>
    <row r="1041" spans="1:2" ht="45.75" thickBot="1">
      <c r="A1041" s="384">
        <v>2027</v>
      </c>
      <c r="B1041" s="626" t="s">
        <v>1558</v>
      </c>
    </row>
    <row r="1042" spans="1:2" ht="21.75" thickBot="1">
      <c r="A1042" s="384">
        <v>2028</v>
      </c>
      <c r="B1042" s="630" t="s">
        <v>1559</v>
      </c>
    </row>
    <row r="1043" spans="1:2" ht="15.75" thickBot="1">
      <c r="A1043" s="384">
        <v>2029</v>
      </c>
      <c r="B1043" s="629" t="s">
        <v>1560</v>
      </c>
    </row>
    <row r="1044" spans="1:2" ht="21.75" thickBot="1">
      <c r="A1044" s="384">
        <v>2030</v>
      </c>
      <c r="B1044" s="630" t="s">
        <v>1561</v>
      </c>
    </row>
    <row r="1045" spans="1:2" ht="15.75" thickBot="1">
      <c r="A1045" s="384">
        <v>2031</v>
      </c>
      <c r="B1045" s="626" t="s">
        <v>1562</v>
      </c>
    </row>
    <row r="1046" spans="1:2" ht="34.5" thickBot="1">
      <c r="A1046" s="384">
        <v>2032</v>
      </c>
      <c r="B1046" s="626" t="s">
        <v>1563</v>
      </c>
    </row>
    <row r="1047" spans="1:2" ht="23.25" thickBot="1">
      <c r="A1047" s="384">
        <v>2033</v>
      </c>
      <c r="B1047" s="626" t="s">
        <v>1564</v>
      </c>
    </row>
    <row r="1048" spans="1:2" ht="21.75" thickBot="1">
      <c r="A1048" s="384">
        <v>2034</v>
      </c>
      <c r="B1048" s="630" t="s">
        <v>1565</v>
      </c>
    </row>
    <row r="1049" spans="1:2" ht="15.75" thickBot="1">
      <c r="A1049" s="384">
        <v>2035</v>
      </c>
      <c r="B1049" s="629" t="s">
        <v>1566</v>
      </c>
    </row>
    <row r="1050" spans="1:2" ht="23.25" thickBot="1">
      <c r="A1050" s="384">
        <v>2036</v>
      </c>
      <c r="B1050" s="626" t="s">
        <v>1567</v>
      </c>
    </row>
    <row r="1051" spans="1:2" ht="42.75" thickBot="1">
      <c r="A1051" s="384">
        <v>2037</v>
      </c>
      <c r="B1051" s="630" t="s">
        <v>1568</v>
      </c>
    </row>
    <row r="1052" spans="1:2" ht="21.75" thickBot="1">
      <c r="A1052" s="384">
        <v>2038</v>
      </c>
      <c r="B1052" s="630" t="s">
        <v>1569</v>
      </c>
    </row>
    <row r="1053" spans="1:2" ht="90" thickBot="1">
      <c r="A1053" s="384">
        <v>2039</v>
      </c>
      <c r="B1053" s="631" t="s">
        <v>1570</v>
      </c>
    </row>
    <row r="1054" spans="1:2" ht="30.75" thickBot="1">
      <c r="A1054" s="384">
        <v>2040</v>
      </c>
      <c r="B1054" s="628" t="s">
        <v>1571</v>
      </c>
    </row>
    <row r="1055" spans="1:2" ht="45.75" thickBot="1">
      <c r="A1055" s="384">
        <v>2041</v>
      </c>
      <c r="B1055" s="626" t="s">
        <v>1572</v>
      </c>
    </row>
    <row r="1056" spans="1:2" ht="15.75" thickBot="1">
      <c r="A1056" s="384">
        <v>2042</v>
      </c>
      <c r="B1056" s="629" t="s">
        <v>1573</v>
      </c>
    </row>
    <row r="1057" spans="1:2" ht="23.25" thickBot="1">
      <c r="A1057" s="384">
        <v>2043</v>
      </c>
      <c r="B1057" s="626" t="s">
        <v>1574</v>
      </c>
    </row>
    <row r="1058" spans="1:2" ht="23.25" thickBot="1">
      <c r="A1058" s="384">
        <v>2044</v>
      </c>
      <c r="B1058" s="626" t="s">
        <v>1575</v>
      </c>
    </row>
    <row r="1059" spans="1:2" ht="34.5" thickBot="1">
      <c r="A1059" s="384">
        <v>2045</v>
      </c>
      <c r="B1059" s="626" t="s">
        <v>1576</v>
      </c>
    </row>
    <row r="1060" spans="1:2" ht="15.75" thickBot="1">
      <c r="A1060" s="384">
        <v>2046</v>
      </c>
      <c r="B1060" s="626" t="s">
        <v>1577</v>
      </c>
    </row>
    <row r="1061" spans="1:2" ht="15.75" thickBot="1">
      <c r="A1061" s="384">
        <v>2047</v>
      </c>
      <c r="B1061" s="626" t="s">
        <v>1578</v>
      </c>
    </row>
    <row r="1062" spans="1:2" ht="23.25" thickBot="1">
      <c r="A1062" s="384">
        <v>2048</v>
      </c>
      <c r="B1062" s="626" t="s">
        <v>1579</v>
      </c>
    </row>
    <row r="1063" spans="1:2" ht="102" thickBot="1">
      <c r="A1063" s="384">
        <v>2049</v>
      </c>
      <c r="B1063" s="626" t="s">
        <v>1580</v>
      </c>
    </row>
    <row r="1064" spans="1:2" ht="34.5" thickBot="1">
      <c r="A1064" s="384">
        <v>2050</v>
      </c>
      <c r="B1064" s="626" t="s">
        <v>1581</v>
      </c>
    </row>
    <row r="1065" spans="1:2" ht="45.75" thickBot="1">
      <c r="A1065" s="384">
        <v>2051</v>
      </c>
      <c r="B1065" s="626" t="s">
        <v>1582</v>
      </c>
    </row>
    <row r="1066" spans="1:2" ht="15.75" thickBot="1">
      <c r="A1066" s="384">
        <v>2052</v>
      </c>
      <c r="B1066" s="629" t="s">
        <v>1583</v>
      </c>
    </row>
    <row r="1067" spans="1:2" ht="15.75" thickBot="1">
      <c r="A1067" s="384">
        <v>2053</v>
      </c>
      <c r="B1067" s="629" t="s">
        <v>1584</v>
      </c>
    </row>
    <row r="1068" spans="1:2" ht="15.75" thickBot="1">
      <c r="A1068" s="384">
        <v>2054</v>
      </c>
      <c r="B1068" s="626" t="s">
        <v>1585</v>
      </c>
    </row>
    <row r="1069" spans="1:2" ht="15.75" thickBot="1">
      <c r="A1069" s="384">
        <v>2055</v>
      </c>
      <c r="B1069" s="629" t="s">
        <v>1586</v>
      </c>
    </row>
    <row r="1070" spans="1:2" ht="23.25" thickBot="1">
      <c r="A1070" s="384">
        <v>2056</v>
      </c>
      <c r="B1070" s="626" t="s">
        <v>1587</v>
      </c>
    </row>
    <row r="1071" spans="1:2" ht="23.25" thickBot="1">
      <c r="A1071" s="384">
        <v>2057</v>
      </c>
      <c r="B1071" s="626" t="s">
        <v>1588</v>
      </c>
    </row>
    <row r="1072" spans="1:2" ht="15.75" thickBot="1">
      <c r="A1072" s="384">
        <v>2058</v>
      </c>
      <c r="B1072" s="622" t="s">
        <v>1589</v>
      </c>
    </row>
    <row r="1073" spans="1:2" ht="15.75" thickBot="1">
      <c r="A1073" s="384">
        <v>2059</v>
      </c>
      <c r="B1073" s="626" t="s">
        <v>1590</v>
      </c>
    </row>
    <row r="1074" spans="1:2" ht="15.75" thickBot="1">
      <c r="A1074" s="384">
        <v>2060</v>
      </c>
      <c r="B1074" s="629" t="s">
        <v>1591</v>
      </c>
    </row>
    <row r="1075" spans="1:2" ht="64.5" thickBot="1">
      <c r="A1075" s="384">
        <v>2061</v>
      </c>
      <c r="B1075" s="631" t="s">
        <v>1592</v>
      </c>
    </row>
    <row r="1076" spans="1:2" ht="39" thickBot="1">
      <c r="A1076" s="384">
        <v>2062</v>
      </c>
      <c r="B1076" s="631" t="s">
        <v>1593</v>
      </c>
    </row>
    <row r="1077" spans="1:2" ht="51.75" thickBot="1">
      <c r="A1077" s="384">
        <v>2063</v>
      </c>
      <c r="B1077" s="631" t="s">
        <v>1594</v>
      </c>
    </row>
    <row r="1078" spans="1:2" ht="32.25" thickBot="1">
      <c r="A1078" s="384">
        <v>2064</v>
      </c>
      <c r="B1078" s="630" t="s">
        <v>1595</v>
      </c>
    </row>
    <row r="1079" spans="1:2" ht="15.75" thickBot="1">
      <c r="A1079" s="384">
        <v>2065</v>
      </c>
      <c r="B1079" s="630" t="s">
        <v>1596</v>
      </c>
    </row>
    <row r="1080" spans="1:2" ht="21.75" thickBot="1">
      <c r="A1080" s="384">
        <v>2066</v>
      </c>
      <c r="B1080" s="630" t="s">
        <v>1597</v>
      </c>
    </row>
    <row r="1081" spans="1:2" ht="21.75" thickBot="1">
      <c r="A1081" s="384">
        <v>2067</v>
      </c>
      <c r="B1081" s="630" t="s">
        <v>1598</v>
      </c>
    </row>
    <row r="1082" spans="1:2" ht="21.75" thickBot="1">
      <c r="A1082" s="384">
        <v>2068</v>
      </c>
      <c r="B1082" s="630" t="s">
        <v>1599</v>
      </c>
    </row>
    <row r="1083" spans="1:2" ht="32.25" thickBot="1">
      <c r="A1083" s="384">
        <v>2069</v>
      </c>
      <c r="B1083" s="630" t="s">
        <v>1600</v>
      </c>
    </row>
    <row r="1084" spans="1:2" ht="30.75" thickBot="1">
      <c r="A1084" s="384">
        <v>2070</v>
      </c>
      <c r="B1084" s="628" t="s">
        <v>1601</v>
      </c>
    </row>
    <row r="1085" spans="1:2" ht="45.75" thickBot="1">
      <c r="A1085" s="384">
        <v>2071</v>
      </c>
      <c r="B1085" s="626" t="s">
        <v>1602</v>
      </c>
    </row>
    <row r="1086" spans="1:2" ht="79.5" thickBot="1">
      <c r="A1086" s="384">
        <v>2072</v>
      </c>
      <c r="B1086" s="626" t="s">
        <v>1603</v>
      </c>
    </row>
    <row r="1087" spans="1:2" ht="21.75" thickBot="1">
      <c r="A1087" s="384">
        <v>2073</v>
      </c>
      <c r="B1087" s="630" t="s">
        <v>1604</v>
      </c>
    </row>
    <row r="1088" spans="1:2" ht="15.75" thickBot="1">
      <c r="A1088" s="384">
        <v>2074</v>
      </c>
      <c r="B1088" s="628" t="s">
        <v>1605</v>
      </c>
    </row>
    <row r="1089" spans="1:2" ht="15.75" thickBot="1">
      <c r="A1089" s="384">
        <v>2075</v>
      </c>
      <c r="B1089" s="626" t="s">
        <v>1606</v>
      </c>
    </row>
    <row r="1090" spans="1:2" ht="23.25" thickBot="1">
      <c r="A1090" s="384">
        <v>2076</v>
      </c>
      <c r="B1090" s="626" t="s">
        <v>1607</v>
      </c>
    </row>
    <row r="1091" spans="1:2" ht="23.25" thickBot="1">
      <c r="A1091" s="384">
        <v>2077</v>
      </c>
      <c r="B1091" s="626" t="s">
        <v>1608</v>
      </c>
    </row>
    <row r="1092" spans="1:2" ht="23.25" thickBot="1">
      <c r="A1092" s="384">
        <v>2078</v>
      </c>
      <c r="B1092" s="626" t="s">
        <v>1609</v>
      </c>
    </row>
    <row r="1093" spans="1:2" ht="21.75" thickBot="1">
      <c r="A1093" s="384">
        <v>2079</v>
      </c>
      <c r="B1093" s="630" t="s">
        <v>1610</v>
      </c>
    </row>
    <row r="1094" spans="1:2" ht="45.75" thickBot="1">
      <c r="A1094" s="384">
        <v>2080</v>
      </c>
      <c r="B1094" s="626" t="s">
        <v>1611</v>
      </c>
    </row>
    <row r="1095" spans="1:2" ht="34.5" thickBot="1">
      <c r="A1095" s="384">
        <v>2081</v>
      </c>
      <c r="B1095" s="626" t="s">
        <v>1612</v>
      </c>
    </row>
    <row r="1096" spans="1:2" ht="15.75" thickBot="1">
      <c r="A1096" s="384">
        <v>2082</v>
      </c>
      <c r="B1096" s="626" t="s">
        <v>1613</v>
      </c>
    </row>
    <row r="1097" spans="1:2" ht="15.75" thickBot="1">
      <c r="A1097" s="384">
        <v>2083</v>
      </c>
      <c r="B1097" s="626" t="s">
        <v>1614</v>
      </c>
    </row>
    <row r="1098" spans="1:2" ht="15.75" thickBot="1">
      <c r="A1098" s="384">
        <v>2084</v>
      </c>
      <c r="B1098" s="626" t="s">
        <v>1615</v>
      </c>
    </row>
    <row r="1099" spans="1:2" ht="15.75" thickBot="1">
      <c r="A1099" s="384">
        <v>2085</v>
      </c>
      <c r="B1099" s="626" t="s">
        <v>1616</v>
      </c>
    </row>
    <row r="1100" spans="1:2" ht="57" thickBot="1">
      <c r="A1100" s="384">
        <v>2086</v>
      </c>
      <c r="B1100" s="626" t="s">
        <v>1617</v>
      </c>
    </row>
    <row r="1101" spans="1:2" ht="15.75" thickBot="1">
      <c r="A1101" s="384">
        <v>2087</v>
      </c>
      <c r="B1101" s="632" t="s">
        <v>1618</v>
      </c>
    </row>
    <row r="1102" spans="1:2" ht="15.75" thickBot="1">
      <c r="A1102" s="384">
        <v>2088</v>
      </c>
      <c r="B1102" s="632" t="s">
        <v>1619</v>
      </c>
    </row>
    <row r="1103" spans="1:2" ht="15.75" thickBot="1">
      <c r="A1103" s="384">
        <v>2089</v>
      </c>
      <c r="B1103" s="632" t="s">
        <v>1620</v>
      </c>
    </row>
    <row r="1104" spans="1:2" ht="45.75" thickBot="1">
      <c r="A1104" s="384">
        <v>2090</v>
      </c>
      <c r="B1104" s="628" t="s">
        <v>1621</v>
      </c>
    </row>
    <row r="1105" spans="1:2" ht="34.5" thickBot="1">
      <c r="A1105" s="384">
        <v>2091</v>
      </c>
      <c r="B1105" s="626" t="s">
        <v>1622</v>
      </c>
    </row>
    <row r="1106" spans="1:2" ht="15.75" thickBot="1">
      <c r="A1106" s="384">
        <v>2092</v>
      </c>
      <c r="B1106" s="626" t="s">
        <v>1623</v>
      </c>
    </row>
    <row r="1107" spans="1:2" ht="68.25" thickBot="1">
      <c r="A1107" s="384">
        <v>2093</v>
      </c>
      <c r="B1107" s="626" t="s">
        <v>1624</v>
      </c>
    </row>
    <row r="1108" spans="1:2" ht="34.5" thickBot="1">
      <c r="A1108" s="384">
        <v>2094</v>
      </c>
      <c r="B1108" s="626" t="s">
        <v>1625</v>
      </c>
    </row>
    <row r="1109" spans="1:2" ht="23.25" thickBot="1">
      <c r="A1109" s="384">
        <v>2095</v>
      </c>
      <c r="B1109" s="626" t="s">
        <v>1626</v>
      </c>
    </row>
    <row r="1110" spans="1:2" ht="32.25" thickBot="1">
      <c r="A1110" s="384">
        <v>2096</v>
      </c>
      <c r="B1110" s="630" t="s">
        <v>1627</v>
      </c>
    </row>
    <row r="1111" spans="1:2" ht="30.75" thickBot="1">
      <c r="A1111" s="384">
        <v>2097</v>
      </c>
      <c r="B1111" s="628" t="s">
        <v>1628</v>
      </c>
    </row>
    <row r="1112" spans="1:2" ht="34.5" thickBot="1">
      <c r="A1112" s="384">
        <v>2098</v>
      </c>
      <c r="B1112" s="626" t="s">
        <v>1629</v>
      </c>
    </row>
    <row r="1113" spans="1:2" ht="34.5" thickBot="1">
      <c r="A1113" s="384">
        <v>2099</v>
      </c>
      <c r="B1113" s="626" t="s">
        <v>1630</v>
      </c>
    </row>
    <row r="1114" spans="1:2" ht="23.25" thickBot="1">
      <c r="A1114" s="384">
        <v>2100</v>
      </c>
      <c r="B1114" s="626" t="s">
        <v>1631</v>
      </c>
    </row>
    <row r="1115" spans="1:2" ht="21.75" thickBot="1">
      <c r="A1115" s="384">
        <v>2101</v>
      </c>
      <c r="B1115" s="630" t="s">
        <v>1632</v>
      </c>
    </row>
    <row r="1116" spans="1:2" ht="15.75" thickBot="1">
      <c r="A1116" s="384">
        <v>2102</v>
      </c>
      <c r="B1116" s="627" t="s">
        <v>1633</v>
      </c>
    </row>
    <row r="1117" spans="1:2" ht="15.75" thickBot="1">
      <c r="A1117" s="384">
        <v>2103</v>
      </c>
      <c r="B1117" s="628" t="s">
        <v>1634</v>
      </c>
    </row>
    <row r="1118" spans="1:2" ht="45.75" thickBot="1">
      <c r="A1118" s="384">
        <v>2104</v>
      </c>
      <c r="B1118" s="626" t="s">
        <v>1635</v>
      </c>
    </row>
    <row r="1119" spans="1:2" ht="23.25" thickBot="1">
      <c r="A1119" s="384">
        <v>2105</v>
      </c>
      <c r="B1119" s="626" t="s">
        <v>1636</v>
      </c>
    </row>
    <row r="1120" spans="1:2" ht="34.5" thickBot="1">
      <c r="A1120" s="384">
        <v>2106</v>
      </c>
      <c r="B1120" s="626" t="s">
        <v>1637</v>
      </c>
    </row>
    <row r="1121" spans="1:2" ht="45.75" thickBot="1">
      <c r="A1121" s="384">
        <v>2107</v>
      </c>
      <c r="B1121" s="626" t="s">
        <v>1638</v>
      </c>
    </row>
    <row r="1122" spans="1:2" ht="15.75" thickBot="1">
      <c r="A1122" s="384">
        <v>2108</v>
      </c>
      <c r="B1122" s="626" t="s">
        <v>1639</v>
      </c>
    </row>
    <row r="1123" spans="1:2" ht="34.5" thickBot="1">
      <c r="A1123" s="384">
        <v>2109</v>
      </c>
      <c r="B1123" s="626" t="s">
        <v>1640</v>
      </c>
    </row>
    <row r="1124" spans="1:2" ht="26.25" thickBot="1">
      <c r="A1124" s="384">
        <v>2110</v>
      </c>
      <c r="B1124" s="631" t="s">
        <v>1641</v>
      </c>
    </row>
    <row r="1125" spans="1:2" ht="15.75" thickBot="1">
      <c r="A1125" s="384">
        <v>2111</v>
      </c>
      <c r="B1125" s="633" t="s">
        <v>1642</v>
      </c>
    </row>
    <row r="1126" spans="1:2" ht="23.25" thickBot="1">
      <c r="A1126" s="384">
        <v>2112</v>
      </c>
      <c r="B1126" s="626" t="s">
        <v>1643</v>
      </c>
    </row>
    <row r="1127" spans="1:2" ht="21.75" thickBot="1">
      <c r="A1127" s="384">
        <v>2113</v>
      </c>
      <c r="B1127" s="630" t="s">
        <v>1644</v>
      </c>
    </row>
    <row r="1128" spans="1:2" ht="45.75" thickBot="1">
      <c r="A1128" s="384">
        <v>2114</v>
      </c>
      <c r="B1128" s="626" t="s">
        <v>1645</v>
      </c>
    </row>
    <row r="1129" spans="1:2" ht="26.25" thickBot="1">
      <c r="A1129" s="384">
        <v>2115</v>
      </c>
      <c r="B1129" s="629" t="s">
        <v>1646</v>
      </c>
    </row>
    <row r="1130" spans="1:2" ht="34.5" thickBot="1">
      <c r="A1130" s="384">
        <v>2116</v>
      </c>
      <c r="B1130" s="626" t="s">
        <v>1647</v>
      </c>
    </row>
    <row r="1131" spans="1:2" ht="23.25" thickBot="1">
      <c r="A1131" s="384">
        <v>2117</v>
      </c>
      <c r="B1131" s="626" t="s">
        <v>1648</v>
      </c>
    </row>
    <row r="1132" spans="1:2" ht="34.5" thickBot="1">
      <c r="A1132" s="384">
        <v>2118</v>
      </c>
      <c r="B1132" s="626" t="s">
        <v>1649</v>
      </c>
    </row>
    <row r="1133" spans="1:2" ht="45.75" thickBot="1">
      <c r="A1133" s="384">
        <v>2119</v>
      </c>
      <c r="B1133" s="626" t="s">
        <v>1650</v>
      </c>
    </row>
    <row r="1134" spans="1:2" ht="23.25" thickBot="1">
      <c r="A1134" s="384">
        <v>2120</v>
      </c>
      <c r="B1134" s="626" t="s">
        <v>1651</v>
      </c>
    </row>
    <row r="1135" spans="1:2" ht="32.25" thickBot="1">
      <c r="A1135" s="384">
        <v>2121</v>
      </c>
      <c r="B1135" s="630" t="s">
        <v>1652</v>
      </c>
    </row>
    <row r="1136" spans="1:2" ht="15.75" thickBot="1">
      <c r="A1136" s="384">
        <v>2122</v>
      </c>
      <c r="B1136" s="632" t="s">
        <v>1653</v>
      </c>
    </row>
    <row r="1137" spans="1:2" ht="15.75" thickBot="1">
      <c r="A1137" s="384">
        <v>2123</v>
      </c>
      <c r="B1137" s="633" t="s">
        <v>1654</v>
      </c>
    </row>
    <row r="1138" spans="1:2" ht="15.75" thickBot="1">
      <c r="A1138" s="384">
        <v>2124</v>
      </c>
      <c r="B1138" s="632" t="s">
        <v>1655</v>
      </c>
    </row>
    <row r="1139" spans="1:2" ht="15.75" thickBot="1">
      <c r="A1139" s="384">
        <v>2125</v>
      </c>
      <c r="B1139" s="634" t="s">
        <v>1656</v>
      </c>
    </row>
    <row r="1140" spans="1:2" ht="23.25" thickBot="1">
      <c r="A1140" s="384">
        <v>2126</v>
      </c>
      <c r="B1140" s="626" t="s">
        <v>1657</v>
      </c>
    </row>
    <row r="1141" spans="1:2" ht="34.5" thickBot="1">
      <c r="A1141" s="384">
        <v>2127</v>
      </c>
      <c r="B1141" s="626" t="s">
        <v>1658</v>
      </c>
    </row>
    <row r="1142" spans="1:2" ht="34.5" thickBot="1">
      <c r="A1142" s="384">
        <v>2128</v>
      </c>
      <c r="B1142" s="626" t="s">
        <v>1659</v>
      </c>
    </row>
    <row r="1143" spans="1:2" ht="23.25" thickBot="1">
      <c r="A1143" s="384">
        <v>2129</v>
      </c>
      <c r="B1143" s="626" t="s">
        <v>1660</v>
      </c>
    </row>
    <row r="1144" spans="1:2" ht="34.5" thickBot="1">
      <c r="A1144" s="384">
        <v>2130</v>
      </c>
      <c r="B1144" s="626" t="s">
        <v>1661</v>
      </c>
    </row>
    <row r="1145" spans="1:2" ht="23.25" thickBot="1">
      <c r="A1145" s="384">
        <v>2131</v>
      </c>
      <c r="B1145" s="626" t="s">
        <v>1662</v>
      </c>
    </row>
    <row r="1146" spans="1:2" ht="34.5" thickBot="1">
      <c r="A1146" s="384">
        <v>2132</v>
      </c>
      <c r="B1146" s="626" t="s">
        <v>1663</v>
      </c>
    </row>
    <row r="1147" spans="1:2" ht="45.75" thickBot="1">
      <c r="A1147" s="384">
        <v>2133</v>
      </c>
      <c r="B1147" s="626" t="s">
        <v>1664</v>
      </c>
    </row>
    <row r="1148" spans="1:2" ht="34.5" thickBot="1">
      <c r="A1148" s="384">
        <v>2134</v>
      </c>
      <c r="B1148" s="626" t="s">
        <v>1665</v>
      </c>
    </row>
    <row r="1149" spans="1:2" ht="15.75" thickBot="1">
      <c r="A1149" s="384">
        <v>2135</v>
      </c>
      <c r="B1149" s="626" t="s">
        <v>1666</v>
      </c>
    </row>
    <row r="1150" spans="1:2" ht="23.25" thickBot="1">
      <c r="A1150" s="384">
        <v>2136</v>
      </c>
      <c r="B1150" s="626" t="s">
        <v>1667</v>
      </c>
    </row>
    <row r="1151" spans="1:2" ht="15.75" thickBot="1">
      <c r="A1151" s="384">
        <v>2137</v>
      </c>
      <c r="B1151" s="630" t="s">
        <v>1668</v>
      </c>
    </row>
    <row r="1152" spans="1:2" ht="53.25" thickBot="1">
      <c r="A1152" s="384">
        <v>2138</v>
      </c>
      <c r="B1152" s="630" t="s">
        <v>1669</v>
      </c>
    </row>
    <row r="1153" spans="1:2" ht="34.5" thickBot="1">
      <c r="A1153" s="384">
        <v>2139</v>
      </c>
      <c r="B1153" s="626" t="s">
        <v>1670</v>
      </c>
    </row>
    <row r="1154" spans="1:2" ht="15.75" thickBot="1">
      <c r="A1154" s="384">
        <v>2140</v>
      </c>
      <c r="B1154" s="626" t="s">
        <v>1671</v>
      </c>
    </row>
    <row r="1155" spans="1:2" ht="23.25" thickBot="1">
      <c r="A1155" s="384">
        <v>2141</v>
      </c>
      <c r="B1155" s="626" t="s">
        <v>1672</v>
      </c>
    </row>
    <row r="1156" spans="1:2" ht="23.25" thickBot="1">
      <c r="A1156" s="384">
        <v>2142</v>
      </c>
      <c r="B1156" s="626" t="s">
        <v>1673</v>
      </c>
    </row>
    <row r="1157" spans="1:2" ht="45.75" thickBot="1">
      <c r="A1157" s="384">
        <v>2143</v>
      </c>
      <c r="B1157" s="626" t="s">
        <v>1674</v>
      </c>
    </row>
    <row r="1158" spans="1:2" ht="21.75" thickBot="1">
      <c r="A1158" s="384">
        <v>2144</v>
      </c>
      <c r="B1158" s="630" t="s">
        <v>1675</v>
      </c>
    </row>
    <row r="1159" spans="1:2" ht="15.75" thickBot="1">
      <c r="A1159" s="384">
        <v>2145</v>
      </c>
      <c r="B1159" s="633" t="s">
        <v>1676</v>
      </c>
    </row>
    <row r="1160" spans="1:2" ht="15.75" thickBot="1">
      <c r="A1160" s="384">
        <v>2146</v>
      </c>
      <c r="B1160" s="635" t="s">
        <v>1677</v>
      </c>
    </row>
    <row r="1161" spans="1:2" ht="15.75" thickBot="1">
      <c r="A1161" s="384">
        <v>2147</v>
      </c>
      <c r="B1161" s="632" t="s">
        <v>1678</v>
      </c>
    </row>
    <row r="1162" spans="1:2" ht="23.25" thickBot="1">
      <c r="A1162" s="384">
        <v>2148</v>
      </c>
      <c r="B1162" s="626" t="s">
        <v>1679</v>
      </c>
    </row>
    <row r="1163" spans="1:2" ht="15.75" thickBot="1">
      <c r="A1163" s="384">
        <v>2149</v>
      </c>
      <c r="B1163" s="636" t="s">
        <v>1680</v>
      </c>
    </row>
    <row r="1164" spans="1:2" ht="36.75" thickBot="1">
      <c r="A1164" s="384">
        <v>2150</v>
      </c>
      <c r="B1164" s="625" t="s">
        <v>1681</v>
      </c>
    </row>
    <row r="1165" spans="1:2" ht="23.25" thickBot="1">
      <c r="A1165" s="384">
        <v>2151</v>
      </c>
      <c r="B1165" s="626" t="s">
        <v>1682</v>
      </c>
    </row>
    <row r="1166" spans="1:2" ht="23.25" thickBot="1">
      <c r="A1166" s="384">
        <v>2152</v>
      </c>
      <c r="B1166" s="626" t="s">
        <v>1683</v>
      </c>
    </row>
    <row r="1167" spans="1:2" ht="15.75" thickBot="1">
      <c r="A1167" s="384">
        <v>2153</v>
      </c>
      <c r="B1167" s="627" t="s">
        <v>1684</v>
      </c>
    </row>
    <row r="1168" spans="1:2" ht="15.75" thickBot="1">
      <c r="A1168" s="384">
        <v>2154</v>
      </c>
      <c r="B1168" s="637" t="s">
        <v>1685</v>
      </c>
    </row>
    <row r="1169" spans="1:2" ht="83.25" thickBot="1">
      <c r="A1169" s="384">
        <v>2155</v>
      </c>
      <c r="B1169" s="626" t="s">
        <v>1686</v>
      </c>
    </row>
    <row r="1170" spans="1:2" ht="15.75" thickBot="1">
      <c r="A1170" s="384">
        <v>2156</v>
      </c>
      <c r="B1170" s="630" t="s">
        <v>1687</v>
      </c>
    </row>
    <row r="1171" spans="1:2" ht="32.25" thickBot="1">
      <c r="A1171" s="384">
        <v>2157</v>
      </c>
      <c r="B1171" s="630" t="s">
        <v>1688</v>
      </c>
    </row>
    <row r="1172" spans="1:2" ht="15.75" thickBot="1">
      <c r="A1172" s="384">
        <v>2158</v>
      </c>
      <c r="B1172" s="633" t="s">
        <v>1689</v>
      </c>
    </row>
    <row r="1173" spans="1:2" ht="45.75" thickBot="1">
      <c r="A1173" s="384">
        <v>2159</v>
      </c>
      <c r="B1173" s="626" t="s">
        <v>1690</v>
      </c>
    </row>
    <row r="1174" spans="1:2" ht="34.5" thickBot="1">
      <c r="A1174" s="384">
        <v>2160</v>
      </c>
      <c r="B1174" s="626" t="s">
        <v>1691</v>
      </c>
    </row>
    <row r="1175" spans="1:2" ht="15.75" thickBot="1">
      <c r="A1175" s="384">
        <v>2161</v>
      </c>
      <c r="B1175" s="638" t="s">
        <v>1692</v>
      </c>
    </row>
    <row r="1176" spans="1:2" ht="45.75" thickBot="1">
      <c r="A1176" s="384">
        <v>2162</v>
      </c>
      <c r="B1176" s="626" t="s">
        <v>1693</v>
      </c>
    </row>
    <row r="1177" spans="1:2" ht="32.25" thickBot="1">
      <c r="A1177" s="384">
        <v>2163</v>
      </c>
      <c r="B1177" s="630" t="s">
        <v>1694</v>
      </c>
    </row>
    <row r="1178" spans="1:2" ht="15.75" thickBot="1">
      <c r="A1178" s="384">
        <v>2164</v>
      </c>
      <c r="B1178" s="638" t="s">
        <v>1695</v>
      </c>
    </row>
    <row r="1179" spans="1:2" ht="15.75" thickBot="1">
      <c r="A1179" s="384">
        <v>2165</v>
      </c>
      <c r="B1179" s="639" t="s">
        <v>1696</v>
      </c>
    </row>
    <row r="1180" spans="1:2" ht="15.75" thickBot="1">
      <c r="A1180" s="384">
        <v>2166</v>
      </c>
      <c r="B1180" s="629" t="s">
        <v>1697</v>
      </c>
    </row>
    <row r="1181" spans="1:2" ht="90.75" thickBot="1">
      <c r="A1181" s="384">
        <v>2167</v>
      </c>
      <c r="B1181" s="626" t="s">
        <v>1698</v>
      </c>
    </row>
    <row r="1182" spans="1:2" ht="45.75" thickBot="1">
      <c r="A1182" s="384">
        <v>2168</v>
      </c>
      <c r="B1182" s="626" t="s">
        <v>1699</v>
      </c>
    </row>
    <row r="1183" spans="1:2" ht="63.75" thickBot="1">
      <c r="A1183" s="384">
        <v>2169</v>
      </c>
      <c r="B1183" s="630" t="s">
        <v>1700</v>
      </c>
    </row>
    <row r="1184" spans="1:2" ht="23.25" thickBot="1">
      <c r="A1184" s="384">
        <v>2170</v>
      </c>
      <c r="B1184" s="626" t="s">
        <v>1701</v>
      </c>
    </row>
    <row r="1185" spans="1:2" ht="15.75" thickBot="1">
      <c r="A1185" s="384">
        <v>2171</v>
      </c>
      <c r="B1185" s="632" t="s">
        <v>1702</v>
      </c>
    </row>
    <row r="1186" spans="1:2" ht="15.75" thickBot="1">
      <c r="A1186" s="384">
        <v>2172</v>
      </c>
      <c r="B1186" s="640" t="s">
        <v>1703</v>
      </c>
    </row>
    <row r="1187" spans="1:2" ht="15.75" thickBot="1">
      <c r="A1187" s="384">
        <v>2173</v>
      </c>
      <c r="B1187" s="629" t="s">
        <v>1704</v>
      </c>
    </row>
    <row r="1188" spans="1:2" ht="23.25" thickBot="1">
      <c r="A1188" s="384">
        <v>2174</v>
      </c>
      <c r="B1188" s="626" t="s">
        <v>1705</v>
      </c>
    </row>
    <row r="1189" spans="1:2" ht="15.75" thickBot="1">
      <c r="A1189" s="384">
        <v>2175</v>
      </c>
      <c r="B1189" s="629" t="s">
        <v>1706</v>
      </c>
    </row>
    <row r="1190" spans="1:2" ht="15.75" thickBot="1">
      <c r="A1190" s="384">
        <v>2176</v>
      </c>
      <c r="B1190" s="641" t="s">
        <v>1707</v>
      </c>
    </row>
    <row r="1191" spans="1:2" ht="15.75" thickBot="1">
      <c r="A1191" s="384">
        <v>2177</v>
      </c>
      <c r="B1191" s="638" t="s">
        <v>1708</v>
      </c>
    </row>
    <row r="1192" spans="1:2" ht="15.75" thickBot="1">
      <c r="A1192" s="384">
        <v>2178</v>
      </c>
      <c r="B1192" s="629" t="s">
        <v>1709</v>
      </c>
    </row>
    <row r="1193" spans="1:2" ht="15.75" thickBot="1">
      <c r="A1193" s="384">
        <v>2179</v>
      </c>
      <c r="B1193" s="626" t="s">
        <v>1710</v>
      </c>
    </row>
    <row r="1194" spans="1:2" ht="23.25" thickBot="1">
      <c r="A1194" s="384">
        <v>2180</v>
      </c>
      <c r="B1194" s="626" t="s">
        <v>1711</v>
      </c>
    </row>
    <row r="1195" spans="1:2" ht="23.25" thickBot="1">
      <c r="A1195" s="384">
        <v>2181</v>
      </c>
      <c r="B1195" s="626" t="s">
        <v>1712</v>
      </c>
    </row>
    <row r="1196" spans="1:2" ht="23.25" thickBot="1">
      <c r="A1196" s="384">
        <v>2182</v>
      </c>
      <c r="B1196" s="626" t="s">
        <v>1713</v>
      </c>
    </row>
    <row r="1197" spans="1:2" ht="23.25" thickBot="1">
      <c r="A1197" s="384">
        <v>2183</v>
      </c>
      <c r="B1197" s="626" t="s">
        <v>1714</v>
      </c>
    </row>
    <row r="1198" spans="1:2" ht="15.75" thickBot="1">
      <c r="A1198" s="384">
        <v>2184</v>
      </c>
      <c r="B1198" s="636" t="s">
        <v>1715</v>
      </c>
    </row>
    <row r="1199" spans="1:2" ht="36.75" thickBot="1">
      <c r="A1199" s="384">
        <v>2185</v>
      </c>
      <c r="B1199" s="625" t="s">
        <v>1716</v>
      </c>
    </row>
    <row r="1200" spans="1:2" ht="34.5" thickBot="1">
      <c r="A1200" s="384">
        <v>2186</v>
      </c>
      <c r="B1200" s="626" t="s">
        <v>1717</v>
      </c>
    </row>
    <row r="1201" spans="1:2" ht="23.25" thickBot="1">
      <c r="A1201" s="384">
        <v>2187</v>
      </c>
      <c r="B1201" s="626" t="s">
        <v>1718</v>
      </c>
    </row>
    <row r="1202" spans="1:2" ht="15.75" thickBot="1">
      <c r="A1202" s="384">
        <v>2188</v>
      </c>
      <c r="B1202" s="627" t="s">
        <v>1719</v>
      </c>
    </row>
    <row r="1203" spans="1:2" ht="68.25" thickBot="1">
      <c r="A1203" s="384">
        <v>2189</v>
      </c>
      <c r="B1203" s="626" t="s">
        <v>1720</v>
      </c>
    </row>
    <row r="1204" spans="1:2" ht="79.5" thickBot="1">
      <c r="A1204" s="384">
        <v>2190</v>
      </c>
      <c r="B1204" s="626" t="s">
        <v>1721</v>
      </c>
    </row>
    <row r="1205" spans="1:2" ht="15.75" thickBot="1">
      <c r="A1205" s="384">
        <v>2191</v>
      </c>
      <c r="B1205" s="626" t="s">
        <v>1722</v>
      </c>
    </row>
    <row r="1206" spans="1:2" ht="34.5" thickBot="1">
      <c r="A1206" s="384">
        <v>2192</v>
      </c>
      <c r="B1206" s="626" t="s">
        <v>1723</v>
      </c>
    </row>
    <row r="1207" spans="1:2" ht="23.25" thickBot="1">
      <c r="A1207" s="384">
        <v>2193</v>
      </c>
      <c r="B1207" s="626" t="s">
        <v>1724</v>
      </c>
    </row>
    <row r="1208" spans="1:2" ht="23.25" thickBot="1">
      <c r="A1208" s="384">
        <v>2194</v>
      </c>
      <c r="B1208" s="626" t="s">
        <v>1725</v>
      </c>
    </row>
    <row r="1209" spans="1:2" ht="15.75" thickBot="1">
      <c r="A1209" s="384">
        <v>2195</v>
      </c>
      <c r="B1209" s="629" t="s">
        <v>1726</v>
      </c>
    </row>
    <row r="1210" spans="1:2" ht="45.75" thickBot="1">
      <c r="A1210" s="384">
        <v>2196</v>
      </c>
      <c r="B1210" s="626" t="s">
        <v>1727</v>
      </c>
    </row>
    <row r="1211" spans="1:2" ht="15.75" thickBot="1">
      <c r="A1211" s="384">
        <v>2197</v>
      </c>
      <c r="B1211" s="641" t="s">
        <v>1728</v>
      </c>
    </row>
    <row r="1212" spans="1:2" ht="15.75" thickBot="1">
      <c r="A1212" s="384">
        <v>2198</v>
      </c>
      <c r="B1212" s="641" t="s">
        <v>1729</v>
      </c>
    </row>
    <row r="1213" spans="1:2" ht="15.75" thickBot="1">
      <c r="A1213" s="384">
        <v>2199</v>
      </c>
      <c r="B1213" s="626" t="s">
        <v>1730</v>
      </c>
    </row>
    <row r="1214" spans="1:2" ht="15.75" thickBot="1">
      <c r="A1214" s="384">
        <v>2200</v>
      </c>
      <c r="B1214" s="629" t="s">
        <v>1731</v>
      </c>
    </row>
    <row r="1215" spans="1:2" ht="45.75" thickBot="1">
      <c r="A1215" s="384">
        <v>2201</v>
      </c>
      <c r="B1215" s="626" t="s">
        <v>1732</v>
      </c>
    </row>
    <row r="1216" spans="1:2" ht="45.75" thickBot="1">
      <c r="A1216" s="384">
        <v>2202</v>
      </c>
      <c r="B1216" s="626" t="s">
        <v>1733</v>
      </c>
    </row>
    <row r="1217" spans="1:2" ht="15.75" thickBot="1">
      <c r="A1217" s="384">
        <v>2203</v>
      </c>
      <c r="B1217" s="629" t="s">
        <v>1734</v>
      </c>
    </row>
    <row r="1218" spans="1:2" ht="15.75" thickBot="1">
      <c r="A1218" s="384">
        <v>2204</v>
      </c>
      <c r="B1218" s="641" t="s">
        <v>1735</v>
      </c>
    </row>
    <row r="1219" spans="1:2" ht="15.75" thickBot="1">
      <c r="A1219" s="384">
        <v>2205</v>
      </c>
      <c r="B1219" s="641" t="s">
        <v>1736</v>
      </c>
    </row>
    <row r="1220" spans="1:2" ht="15.75" thickBot="1">
      <c r="A1220" s="384">
        <v>2206</v>
      </c>
      <c r="B1220" s="642" t="s">
        <v>1737</v>
      </c>
    </row>
    <row r="1221" spans="1:2" ht="15.75" thickBot="1">
      <c r="A1221" s="384">
        <v>2207</v>
      </c>
      <c r="B1221" s="641" t="s">
        <v>1738</v>
      </c>
    </row>
    <row r="1222" spans="1:2" ht="45.75" thickBot="1">
      <c r="A1222" s="384">
        <v>2208</v>
      </c>
      <c r="B1222" s="626" t="s">
        <v>1739</v>
      </c>
    </row>
    <row r="1223" spans="1:2" ht="15.75" thickBot="1">
      <c r="A1223" s="384">
        <v>2209</v>
      </c>
      <c r="B1223" s="630" t="s">
        <v>1740</v>
      </c>
    </row>
    <row r="1224" spans="1:2" ht="68.25" thickBot="1">
      <c r="A1224" s="384">
        <v>2210</v>
      </c>
      <c r="B1224" s="626" t="s">
        <v>1741</v>
      </c>
    </row>
    <row r="1225" spans="1:2" ht="15.75" thickBot="1">
      <c r="A1225" s="384">
        <v>2211</v>
      </c>
      <c r="B1225" s="630" t="s">
        <v>1742</v>
      </c>
    </row>
    <row r="1226" spans="1:2" ht="15.75" thickBot="1">
      <c r="A1226" s="384">
        <v>2212</v>
      </c>
      <c r="B1226" s="641" t="s">
        <v>1743</v>
      </c>
    </row>
    <row r="1227" spans="1:2" ht="15.75" thickBot="1">
      <c r="A1227" s="384">
        <v>2213</v>
      </c>
      <c r="B1227" s="641" t="s">
        <v>1744</v>
      </c>
    </row>
    <row r="1228" spans="1:2" ht="15.75" thickBot="1">
      <c r="A1228" s="384">
        <v>2214</v>
      </c>
      <c r="B1228" s="642" t="s">
        <v>1745</v>
      </c>
    </row>
    <row r="1229" spans="1:2" ht="15.75" thickBot="1">
      <c r="A1229" s="384">
        <v>2215</v>
      </c>
      <c r="B1229" s="641" t="s">
        <v>1746</v>
      </c>
    </row>
    <row r="1230" spans="1:2" ht="15.75" thickBot="1">
      <c r="A1230" s="384">
        <v>2216</v>
      </c>
      <c r="B1230" s="641" t="s">
        <v>1747</v>
      </c>
    </row>
    <row r="1231" spans="1:2" ht="15.75" thickBot="1">
      <c r="A1231" s="384">
        <v>2217</v>
      </c>
      <c r="B1231" s="641" t="s">
        <v>1748</v>
      </c>
    </row>
    <row r="1232" spans="1:2" ht="15.75" thickBot="1">
      <c r="A1232" s="384">
        <v>2218</v>
      </c>
      <c r="B1232" s="641" t="s">
        <v>1749</v>
      </c>
    </row>
    <row r="1233" spans="1:2" ht="15.75" thickBot="1">
      <c r="A1233" s="384">
        <v>2219</v>
      </c>
      <c r="B1233" s="641" t="s">
        <v>1750</v>
      </c>
    </row>
    <row r="1234" spans="1:2" ht="15.75" thickBot="1">
      <c r="A1234" s="384">
        <v>2220</v>
      </c>
      <c r="B1234" s="642" t="s">
        <v>1751</v>
      </c>
    </row>
    <row r="1235" spans="1:2" ht="15.75" thickBot="1">
      <c r="A1235" s="384">
        <v>2221</v>
      </c>
      <c r="B1235" s="643" t="s">
        <v>1752</v>
      </c>
    </row>
    <row r="1236" spans="1:2" ht="42.75" thickBot="1">
      <c r="A1236" s="384">
        <v>2222</v>
      </c>
      <c r="B1236" s="630" t="s">
        <v>1753</v>
      </c>
    </row>
    <row r="1237" spans="1:2" ht="21.75" thickBot="1">
      <c r="A1237" s="384">
        <v>2223</v>
      </c>
      <c r="B1237" s="630" t="s">
        <v>1754</v>
      </c>
    </row>
    <row r="1238" spans="1:2" ht="15.75" thickBot="1">
      <c r="A1238" s="384">
        <v>2224</v>
      </c>
      <c r="B1238" s="632" t="s">
        <v>1755</v>
      </c>
    </row>
    <row r="1239" spans="1:2" ht="15.75" thickBot="1">
      <c r="A1239" s="384">
        <v>2225</v>
      </c>
      <c r="B1239" s="632" t="s">
        <v>1756</v>
      </c>
    </row>
    <row r="1240" spans="1:2" ht="15.75" thickBot="1">
      <c r="A1240" s="384">
        <v>2226</v>
      </c>
      <c r="B1240" s="632" t="s">
        <v>1757</v>
      </c>
    </row>
    <row r="1241" spans="1:2" ht="15.75" thickBot="1">
      <c r="A1241" s="384">
        <v>2227</v>
      </c>
      <c r="B1241" s="632" t="s">
        <v>1758</v>
      </c>
    </row>
    <row r="1242" spans="1:2" ht="15.75" thickBot="1">
      <c r="A1242" s="384">
        <v>2228</v>
      </c>
      <c r="B1242" s="632" t="s">
        <v>1759</v>
      </c>
    </row>
    <row r="1243" spans="1:2" ht="15.75" thickBot="1">
      <c r="A1243" s="384">
        <v>2229</v>
      </c>
      <c r="B1243" s="638" t="s">
        <v>1760</v>
      </c>
    </row>
    <row r="1244" spans="1:2" ht="45.75" thickBot="1">
      <c r="A1244" s="384">
        <v>2230</v>
      </c>
      <c r="B1244" s="626" t="s">
        <v>1761</v>
      </c>
    </row>
    <row r="1245" spans="1:2" ht="34.5" thickBot="1">
      <c r="A1245" s="384">
        <v>2231</v>
      </c>
      <c r="B1245" s="626" t="s">
        <v>1762</v>
      </c>
    </row>
    <row r="1246" spans="1:2" ht="15.75" thickBot="1">
      <c r="A1246" s="384">
        <v>2232</v>
      </c>
      <c r="B1246" s="638" t="s">
        <v>1763</v>
      </c>
    </row>
    <row r="1247" spans="1:2" ht="42.75" thickBot="1">
      <c r="A1247" s="384">
        <v>2233</v>
      </c>
      <c r="B1247" s="630" t="s">
        <v>1764</v>
      </c>
    </row>
    <row r="1248" spans="1:2" ht="68.25" thickBot="1">
      <c r="A1248" s="384">
        <v>2234</v>
      </c>
      <c r="B1248" s="626" t="s">
        <v>1765</v>
      </c>
    </row>
    <row r="1249" spans="1:2" ht="15.75" thickBot="1">
      <c r="A1249" s="384">
        <v>2235</v>
      </c>
      <c r="B1249" s="638" t="s">
        <v>1766</v>
      </c>
    </row>
    <row r="1250" spans="1:2" ht="15.75" thickBot="1">
      <c r="A1250" s="384">
        <v>2236</v>
      </c>
      <c r="B1250" s="642" t="s">
        <v>1767</v>
      </c>
    </row>
    <row r="1251" spans="1:2" ht="34.5" thickBot="1">
      <c r="A1251" s="384">
        <v>2237</v>
      </c>
      <c r="B1251" s="626" t="s">
        <v>1768</v>
      </c>
    </row>
    <row r="1252" spans="1:2" ht="15.75" thickBot="1">
      <c r="A1252" s="384">
        <v>2238</v>
      </c>
      <c r="B1252" s="641" t="s">
        <v>1769</v>
      </c>
    </row>
    <row r="1253" spans="1:2" ht="15.75" thickBot="1">
      <c r="A1253" s="384">
        <v>2239</v>
      </c>
      <c r="B1253" s="642" t="s">
        <v>1770</v>
      </c>
    </row>
    <row r="1254" spans="1:2" ht="15.75" thickBot="1">
      <c r="A1254" s="384">
        <v>2240</v>
      </c>
      <c r="B1254" s="640" t="s">
        <v>1771</v>
      </c>
    </row>
    <row r="1255" spans="1:2" ht="34.5" thickBot="1">
      <c r="A1255" s="384">
        <v>2241</v>
      </c>
      <c r="B1255" s="626" t="s">
        <v>1772</v>
      </c>
    </row>
    <row r="1256" spans="1:2" ht="21.75" thickBot="1">
      <c r="A1256" s="384">
        <v>2242</v>
      </c>
      <c r="B1256" s="630" t="s">
        <v>1773</v>
      </c>
    </row>
    <row r="1257" spans="1:2" ht="21.75" thickBot="1">
      <c r="A1257" s="384">
        <v>2243</v>
      </c>
      <c r="B1257" s="630" t="s">
        <v>1774</v>
      </c>
    </row>
    <row r="1258" spans="1:2" ht="34.5" thickBot="1">
      <c r="A1258" s="384">
        <v>2244</v>
      </c>
      <c r="B1258" s="626" t="s">
        <v>1775</v>
      </c>
    </row>
    <row r="1259" spans="1:2" ht="15.75" thickBot="1">
      <c r="A1259" s="384">
        <v>2245</v>
      </c>
      <c r="B1259" s="644" t="s">
        <v>1776</v>
      </c>
    </row>
    <row r="1260" spans="1:2" ht="15.75" thickBot="1">
      <c r="A1260" s="384">
        <v>2246</v>
      </c>
      <c r="B1260" s="638" t="s">
        <v>1777</v>
      </c>
    </row>
    <row r="1261" spans="1:2" ht="15.75" thickBot="1">
      <c r="A1261" s="384">
        <v>2247</v>
      </c>
      <c r="B1261" s="644" t="s">
        <v>1778</v>
      </c>
    </row>
    <row r="1262" spans="1:2" ht="15.75" thickBot="1">
      <c r="A1262" s="384">
        <v>2248</v>
      </c>
      <c r="B1262" s="629" t="s">
        <v>1779</v>
      </c>
    </row>
    <row r="1263" spans="1:2" ht="15.75" thickBot="1">
      <c r="A1263" s="384">
        <v>2249</v>
      </c>
      <c r="B1263" s="626" t="s">
        <v>1780</v>
      </c>
    </row>
    <row r="1264" spans="1:2" ht="15.75" thickBot="1">
      <c r="A1264" s="384">
        <v>2250</v>
      </c>
      <c r="B1264" s="638" t="s">
        <v>1781</v>
      </c>
    </row>
    <row r="1265" spans="1:2" ht="15.75" thickBot="1">
      <c r="A1265" s="384">
        <v>2251</v>
      </c>
      <c r="B1265" s="641" t="s">
        <v>1782</v>
      </c>
    </row>
    <row r="1266" spans="1:2" ht="34.5" thickBot="1">
      <c r="A1266" s="384">
        <v>2252</v>
      </c>
      <c r="B1266" s="626" t="s">
        <v>1783</v>
      </c>
    </row>
    <row r="1267" spans="1:2" ht="45.75" thickBot="1">
      <c r="A1267" s="384">
        <v>2253</v>
      </c>
      <c r="B1267" s="626" t="s">
        <v>1784</v>
      </c>
    </row>
    <row r="1268" spans="1:2" ht="15.75" thickBot="1">
      <c r="A1268" s="384">
        <v>2254</v>
      </c>
      <c r="B1268" s="645" t="s">
        <v>1785</v>
      </c>
    </row>
    <row r="1269" spans="1:2" ht="23.25" thickBot="1">
      <c r="A1269" s="384">
        <v>2255</v>
      </c>
      <c r="B1269" s="626" t="s">
        <v>1786</v>
      </c>
    </row>
    <row r="1270" spans="1:2" ht="34.5" thickBot="1">
      <c r="A1270" s="384">
        <v>2256</v>
      </c>
      <c r="B1270" s="626" t="s">
        <v>1787</v>
      </c>
    </row>
    <row r="1271" spans="1:2" ht="15.75" thickBot="1">
      <c r="A1271" s="384">
        <v>2257</v>
      </c>
      <c r="B1271" s="626" t="s">
        <v>1788</v>
      </c>
    </row>
    <row r="1272" spans="1:2" ht="24" thickBot="1">
      <c r="A1272" s="384">
        <v>2258</v>
      </c>
      <c r="B1272" s="645" t="s">
        <v>1789</v>
      </c>
    </row>
    <row r="1273" spans="1:2" ht="34.5" thickBot="1">
      <c r="A1273" s="384">
        <v>2259</v>
      </c>
      <c r="B1273" s="626" t="s">
        <v>1790</v>
      </c>
    </row>
    <row r="1274" spans="1:2" ht="32.25" thickBot="1">
      <c r="A1274" s="384">
        <v>2260</v>
      </c>
      <c r="B1274" s="630" t="s">
        <v>1791</v>
      </c>
    </row>
    <row r="1275" spans="1:2" ht="21.75" thickBot="1">
      <c r="A1275" s="384">
        <v>2261</v>
      </c>
      <c r="B1275" s="630" t="s">
        <v>1792</v>
      </c>
    </row>
    <row r="1276" spans="1:2" ht="15.75" thickBot="1">
      <c r="A1276" s="384">
        <v>2262</v>
      </c>
      <c r="B1276" s="641" t="s">
        <v>1793</v>
      </c>
    </row>
    <row r="1277" spans="1:2" ht="34.5" thickBot="1">
      <c r="A1277" s="384">
        <v>2263</v>
      </c>
      <c r="B1277" s="626" t="s">
        <v>1794</v>
      </c>
    </row>
    <row r="1278" spans="1:2" ht="68.25" thickBot="1">
      <c r="A1278" s="384">
        <v>2264</v>
      </c>
      <c r="B1278" s="626" t="s">
        <v>1795</v>
      </c>
    </row>
    <row r="1279" spans="1:2" ht="15.75" thickBot="1">
      <c r="A1279" s="384">
        <v>2265</v>
      </c>
      <c r="B1279" s="638" t="s">
        <v>1796</v>
      </c>
    </row>
    <row r="1280" spans="1:2" ht="23.25" thickBot="1">
      <c r="A1280" s="384">
        <v>2266</v>
      </c>
      <c r="B1280" s="626" t="s">
        <v>1797</v>
      </c>
    </row>
    <row r="1281" spans="1:2" ht="32.25" thickBot="1">
      <c r="A1281" s="384">
        <v>2267</v>
      </c>
      <c r="B1281" s="630" t="s">
        <v>1798</v>
      </c>
    </row>
    <row r="1282" spans="1:2" ht="15.75" thickBot="1">
      <c r="A1282" s="384">
        <v>2268</v>
      </c>
      <c r="B1282" s="638" t="s">
        <v>1799</v>
      </c>
    </row>
    <row r="1283" spans="1:2" ht="15.75" thickBot="1">
      <c r="A1283" s="384">
        <v>2269</v>
      </c>
      <c r="B1283" s="626" t="s">
        <v>1800</v>
      </c>
    </row>
    <row r="1284" spans="1:2" ht="23.25" thickBot="1">
      <c r="A1284" s="384">
        <v>2270</v>
      </c>
      <c r="B1284" s="626" t="s">
        <v>1801</v>
      </c>
    </row>
    <row r="1285" spans="1:2" ht="34.5" thickBot="1">
      <c r="A1285" s="384">
        <v>2271</v>
      </c>
      <c r="B1285" s="626" t="s">
        <v>1802</v>
      </c>
    </row>
    <row r="1286" spans="1:2" ht="15.75" thickBot="1">
      <c r="A1286" s="384">
        <v>2272</v>
      </c>
      <c r="B1286" s="641" t="s">
        <v>1803</v>
      </c>
    </row>
    <row r="1287" spans="1:2" ht="15.75" thickBot="1">
      <c r="A1287" s="384">
        <v>2273</v>
      </c>
      <c r="B1287" s="641" t="s">
        <v>1804</v>
      </c>
    </row>
    <row r="1288" spans="1:2" ht="34.5" thickBot="1">
      <c r="A1288" s="384">
        <v>2274</v>
      </c>
      <c r="B1288" s="626" t="s">
        <v>1805</v>
      </c>
    </row>
    <row r="1289" spans="1:2" ht="34.5" thickBot="1">
      <c r="A1289" s="384">
        <v>2275</v>
      </c>
      <c r="B1289" s="626" t="s">
        <v>1806</v>
      </c>
    </row>
    <row r="1290" spans="1:2" ht="34.5" thickBot="1">
      <c r="A1290" s="384">
        <v>2276</v>
      </c>
      <c r="B1290" s="626" t="s">
        <v>1807</v>
      </c>
    </row>
    <row r="1291" spans="1:2" ht="15.75" thickBot="1">
      <c r="A1291" s="384">
        <v>2277</v>
      </c>
      <c r="B1291" s="638" t="s">
        <v>1808</v>
      </c>
    </row>
    <row r="1292" spans="1:2" ht="15.75" thickBot="1">
      <c r="A1292" s="384">
        <v>2278</v>
      </c>
      <c r="B1292" s="638" t="s">
        <v>1809</v>
      </c>
    </row>
    <row r="1293" spans="1:2" ht="15.75" thickBot="1">
      <c r="A1293" s="384">
        <v>2279</v>
      </c>
      <c r="B1293" s="641" t="s">
        <v>1810</v>
      </c>
    </row>
    <row r="1294" spans="1:2" ht="15.75" thickBot="1">
      <c r="A1294" s="384">
        <v>2280</v>
      </c>
      <c r="B1294" s="641" t="s">
        <v>1811</v>
      </c>
    </row>
    <row r="1295" spans="1:2" ht="15.75" thickBot="1">
      <c r="A1295" s="384">
        <v>2281</v>
      </c>
      <c r="B1295" s="638" t="s">
        <v>1812</v>
      </c>
    </row>
    <row r="1296" spans="1:2" ht="15.75" thickBot="1">
      <c r="A1296" s="384">
        <v>2282</v>
      </c>
      <c r="B1296" s="641" t="s">
        <v>1813</v>
      </c>
    </row>
    <row r="1297" spans="1:2" ht="15.75" thickBot="1">
      <c r="A1297" s="384">
        <v>2283</v>
      </c>
      <c r="B1297" s="638" t="s">
        <v>1814</v>
      </c>
    </row>
    <row r="1298" spans="1:2" ht="34.5" thickBot="1">
      <c r="A1298" s="384">
        <v>2284</v>
      </c>
      <c r="B1298" s="626" t="s">
        <v>1815</v>
      </c>
    </row>
    <row r="1299" spans="1:2" ht="15.75" thickBot="1">
      <c r="A1299" s="384">
        <v>2285</v>
      </c>
      <c r="B1299" s="626" t="s">
        <v>1816</v>
      </c>
    </row>
    <row r="1300" spans="1:2" ht="15.75" thickBot="1">
      <c r="A1300" s="384">
        <v>2286</v>
      </c>
      <c r="B1300" s="626" t="s">
        <v>1817</v>
      </c>
    </row>
    <row r="1301" spans="1:2" ht="57" thickBot="1">
      <c r="A1301" s="384">
        <v>2287</v>
      </c>
      <c r="B1301" s="626" t="s">
        <v>1818</v>
      </c>
    </row>
    <row r="1302" spans="1:2" ht="23.25" thickBot="1">
      <c r="A1302" s="384">
        <v>2288</v>
      </c>
      <c r="B1302" s="626" t="s">
        <v>1819</v>
      </c>
    </row>
    <row r="1303" spans="1:2" ht="23.25" thickBot="1">
      <c r="A1303" s="384">
        <v>2289</v>
      </c>
      <c r="B1303" s="626" t="s">
        <v>1820</v>
      </c>
    </row>
    <row r="1304" spans="1:2" ht="42.75" thickBot="1">
      <c r="A1304" s="384">
        <v>2290</v>
      </c>
      <c r="B1304" s="630" t="s">
        <v>1821</v>
      </c>
    </row>
    <row r="1305" spans="1:2" ht="15.75" thickBot="1">
      <c r="A1305" s="384">
        <v>2291</v>
      </c>
      <c r="B1305" s="640" t="s">
        <v>1822</v>
      </c>
    </row>
    <row r="1306" spans="1:2" ht="15.75" thickBot="1">
      <c r="A1306" s="384">
        <v>2292</v>
      </c>
      <c r="B1306" s="640" t="s">
        <v>1823</v>
      </c>
    </row>
    <row r="1307" spans="1:2" ht="23.25" thickBot="1">
      <c r="A1307" s="384">
        <v>2293</v>
      </c>
      <c r="B1307" s="626" t="s">
        <v>1824</v>
      </c>
    </row>
    <row r="1308" spans="1:2" ht="15.75" thickBot="1">
      <c r="A1308" s="384">
        <v>2294</v>
      </c>
      <c r="B1308" s="641" t="s">
        <v>1825</v>
      </c>
    </row>
    <row r="1309" spans="1:2" ht="15.75" thickBot="1">
      <c r="A1309" s="384">
        <v>2295</v>
      </c>
      <c r="B1309" s="626" t="s">
        <v>1826</v>
      </c>
    </row>
    <row r="1310" spans="1:2" ht="23.25" thickBot="1">
      <c r="A1310" s="384">
        <v>2296</v>
      </c>
      <c r="B1310" s="626" t="s">
        <v>1827</v>
      </c>
    </row>
    <row r="1311" spans="1:2" ht="23.25" thickBot="1">
      <c r="A1311" s="384">
        <v>2297</v>
      </c>
      <c r="B1311" s="626" t="s">
        <v>1828</v>
      </c>
    </row>
    <row r="1312" spans="1:2" ht="23.25" thickBot="1">
      <c r="A1312" s="384">
        <v>2298</v>
      </c>
      <c r="B1312" s="626" t="s">
        <v>1829</v>
      </c>
    </row>
    <row r="1313" spans="1:2" ht="15.75" thickBot="1">
      <c r="A1313" s="384">
        <v>2299</v>
      </c>
      <c r="B1313" s="640" t="s">
        <v>1830</v>
      </c>
    </row>
    <row r="1314" spans="1:2" ht="15.75" thickBot="1">
      <c r="A1314" s="384">
        <v>2300</v>
      </c>
      <c r="B1314" s="639" t="s">
        <v>1831</v>
      </c>
    </row>
    <row r="1315" spans="1:2" ht="15.75" thickBot="1">
      <c r="A1315" s="384">
        <v>2301</v>
      </c>
      <c r="B1315" s="638" t="s">
        <v>1832</v>
      </c>
    </row>
    <row r="1316" spans="1:2" ht="15.75" thickBot="1">
      <c r="A1316" s="384">
        <v>2302</v>
      </c>
      <c r="B1316" s="641" t="s">
        <v>1833</v>
      </c>
    </row>
    <row r="1317" spans="1:2" ht="57" thickBot="1">
      <c r="A1317" s="384">
        <v>2303</v>
      </c>
      <c r="B1317" s="626" t="s">
        <v>1834</v>
      </c>
    </row>
    <row r="1318" spans="1:2" ht="23.25" thickBot="1">
      <c r="A1318" s="384">
        <v>2304</v>
      </c>
      <c r="B1318" s="626" t="s">
        <v>1835</v>
      </c>
    </row>
    <row r="1319" spans="1:2" ht="23.25" thickBot="1">
      <c r="A1319" s="384">
        <v>2305</v>
      </c>
      <c r="B1319" s="626" t="s">
        <v>1836</v>
      </c>
    </row>
    <row r="1320" spans="1:2" ht="23.25" thickBot="1">
      <c r="A1320" s="384">
        <v>2306</v>
      </c>
      <c r="B1320" s="626" t="s">
        <v>1837</v>
      </c>
    </row>
    <row r="1321" spans="1:2" ht="15.75" thickBot="1">
      <c r="A1321" s="384">
        <v>2307</v>
      </c>
      <c r="B1321" s="640" t="s">
        <v>1838</v>
      </c>
    </row>
    <row r="1322" spans="1:2" ht="15.75" thickBot="1">
      <c r="A1322" s="384">
        <v>2308</v>
      </c>
      <c r="B1322" s="640" t="s">
        <v>1839</v>
      </c>
    </row>
    <row r="1323" spans="1:2" ht="15.75" thickBot="1">
      <c r="A1323" s="384">
        <v>2309</v>
      </c>
      <c r="B1323" s="640" t="s">
        <v>1840</v>
      </c>
    </row>
    <row r="1324" spans="1:2" ht="15.75" thickBot="1">
      <c r="A1324" s="384">
        <v>2310</v>
      </c>
      <c r="B1324" s="640" t="s">
        <v>1841</v>
      </c>
    </row>
    <row r="1325" spans="1:2" ht="15.75" thickBot="1">
      <c r="A1325" s="384">
        <v>2311</v>
      </c>
      <c r="B1325" s="638" t="s">
        <v>1842</v>
      </c>
    </row>
    <row r="1326" spans="1:2" ht="57" thickBot="1">
      <c r="A1326" s="384">
        <v>2312</v>
      </c>
      <c r="B1326" s="626" t="s">
        <v>1843</v>
      </c>
    </row>
    <row r="1327" spans="1:2" ht="57" thickBot="1">
      <c r="A1327" s="384">
        <v>2313</v>
      </c>
      <c r="B1327" s="626" t="s">
        <v>1844</v>
      </c>
    </row>
    <row r="1328" spans="1:2" ht="34.5" thickBot="1">
      <c r="A1328" s="384">
        <v>2314</v>
      </c>
      <c r="B1328" s="626" t="s">
        <v>1845</v>
      </c>
    </row>
    <row r="1329" spans="1:2" ht="34.5" thickBot="1">
      <c r="A1329" s="384">
        <v>2315</v>
      </c>
      <c r="B1329" s="626" t="s">
        <v>1846</v>
      </c>
    </row>
    <row r="1330" spans="1:2" ht="57" thickBot="1">
      <c r="A1330" s="384">
        <v>2316</v>
      </c>
      <c r="B1330" s="626" t="s">
        <v>1847</v>
      </c>
    </row>
    <row r="1331" spans="1:2" ht="15.75" thickBot="1">
      <c r="A1331" s="384">
        <v>2317</v>
      </c>
      <c r="B1331" s="641" t="s">
        <v>1848</v>
      </c>
    </row>
    <row r="1332" spans="1:2" ht="53.25" thickBot="1">
      <c r="A1332" s="384">
        <v>2318</v>
      </c>
      <c r="B1332" s="646" t="s">
        <v>1849</v>
      </c>
    </row>
    <row r="1333" spans="1:2" ht="68.25" thickBot="1">
      <c r="A1333" s="384">
        <v>2319</v>
      </c>
      <c r="B1333" s="626" t="s">
        <v>1850</v>
      </c>
    </row>
    <row r="1334" spans="1:2" ht="15.75" thickBot="1">
      <c r="A1334" s="384">
        <v>2320</v>
      </c>
      <c r="B1334" s="641" t="s">
        <v>1851</v>
      </c>
    </row>
    <row r="1335" spans="1:2" ht="15.75" thickBot="1">
      <c r="A1335" s="384">
        <v>2321</v>
      </c>
      <c r="B1335" s="642" t="s">
        <v>1798</v>
      </c>
    </row>
    <row r="1336" spans="1:2" ht="15.75" thickBot="1">
      <c r="A1336" s="384">
        <v>2322</v>
      </c>
      <c r="B1336" s="641" t="s">
        <v>1852</v>
      </c>
    </row>
    <row r="1337" spans="1:2" ht="45.75" thickBot="1">
      <c r="A1337" s="384">
        <v>2323</v>
      </c>
      <c r="B1337" s="626" t="s">
        <v>1853</v>
      </c>
    </row>
    <row r="1338" spans="1:2" ht="15.75" thickBot="1">
      <c r="A1338" s="384">
        <v>2324</v>
      </c>
      <c r="B1338" s="626" t="s">
        <v>1854</v>
      </c>
    </row>
    <row r="1339" spans="1:2" ht="23.25" thickBot="1">
      <c r="A1339" s="384">
        <v>2325</v>
      </c>
      <c r="B1339" s="626" t="s">
        <v>1855</v>
      </c>
    </row>
    <row r="1340" spans="1:2" ht="23.25" thickBot="1">
      <c r="A1340" s="384">
        <v>2326</v>
      </c>
      <c r="B1340" s="626" t="s">
        <v>1856</v>
      </c>
    </row>
    <row r="1341" spans="1:2" ht="23.25" thickBot="1">
      <c r="A1341" s="384">
        <v>2327</v>
      </c>
      <c r="B1341" s="626" t="s">
        <v>1857</v>
      </c>
    </row>
    <row r="1342" spans="1:2" ht="34.5" thickBot="1">
      <c r="A1342" s="384">
        <v>2328</v>
      </c>
      <c r="B1342" s="626" t="s">
        <v>1858</v>
      </c>
    </row>
    <row r="1343" spans="1:2" ht="23.25" thickBot="1">
      <c r="A1343" s="384">
        <v>2329</v>
      </c>
      <c r="B1343" s="626" t="s">
        <v>1859</v>
      </c>
    </row>
    <row r="1344" spans="1:2" ht="23.25" thickBot="1">
      <c r="A1344" s="384">
        <v>2330</v>
      </c>
      <c r="B1344" s="626" t="s">
        <v>1860</v>
      </c>
    </row>
    <row r="1345" spans="1:2" ht="23.25" thickBot="1">
      <c r="A1345" s="384">
        <v>2331</v>
      </c>
      <c r="B1345" s="626" t="s">
        <v>1861</v>
      </c>
    </row>
    <row r="1346" spans="1:2" ht="15.75" thickBot="1">
      <c r="A1346" s="384">
        <v>2332</v>
      </c>
      <c r="B1346" s="638" t="s">
        <v>1862</v>
      </c>
    </row>
    <row r="1347" spans="1:2" ht="23.25" thickBot="1">
      <c r="A1347" s="384">
        <v>2333</v>
      </c>
      <c r="B1347" s="626" t="s">
        <v>1863</v>
      </c>
    </row>
    <row r="1348" spans="1:2" ht="53.25" thickBot="1">
      <c r="A1348" s="384">
        <v>2334</v>
      </c>
      <c r="B1348" s="630" t="s">
        <v>1864</v>
      </c>
    </row>
    <row r="1349" spans="1:2" ht="23.25" thickBot="1">
      <c r="A1349" s="384">
        <v>2335</v>
      </c>
      <c r="B1349" s="626" t="s">
        <v>1865</v>
      </c>
    </row>
    <row r="1350" spans="1:2" ht="23.25" thickBot="1">
      <c r="A1350" s="384">
        <v>2336</v>
      </c>
      <c r="B1350" s="626" t="s">
        <v>1866</v>
      </c>
    </row>
    <row r="1351" spans="1:2" ht="15.75" thickBot="1">
      <c r="A1351" s="384">
        <v>2337</v>
      </c>
      <c r="B1351" s="622" t="s">
        <v>1867</v>
      </c>
    </row>
    <row r="1352" spans="1:2" ht="15.75" thickBot="1">
      <c r="A1352" s="384">
        <v>2338</v>
      </c>
      <c r="B1352" s="622" t="s">
        <v>1868</v>
      </c>
    </row>
    <row r="1353" spans="1:2" ht="15.75" thickBot="1">
      <c r="A1353" s="384">
        <v>2339</v>
      </c>
      <c r="B1353" s="622" t="s">
        <v>1869</v>
      </c>
    </row>
    <row r="1354" spans="1:2" ht="23.25" thickBot="1">
      <c r="A1354" s="384">
        <v>2340</v>
      </c>
      <c r="B1354" s="626" t="s">
        <v>1870</v>
      </c>
    </row>
    <row r="1355" spans="1:2" ht="15.75" thickBot="1">
      <c r="A1355" s="384">
        <v>2341</v>
      </c>
      <c r="B1355" s="622" t="s">
        <v>1871</v>
      </c>
    </row>
    <row r="1356" spans="1:2" ht="16.5" thickBot="1">
      <c r="A1356" s="384">
        <v>2342</v>
      </c>
      <c r="B1356" s="622" t="s">
        <v>1872</v>
      </c>
    </row>
    <row r="1357" spans="1:2" ht="15.75" thickBot="1">
      <c r="A1357" s="384">
        <v>2343</v>
      </c>
      <c r="B1357" s="623" t="s">
        <v>1873</v>
      </c>
    </row>
    <row r="1358" spans="1:2" ht="15.75" thickBot="1">
      <c r="A1358" s="384">
        <v>2344</v>
      </c>
      <c r="B1358" s="623" t="s">
        <v>36</v>
      </c>
    </row>
    <row r="1359" spans="1:2" ht="15.75" thickBot="1">
      <c r="A1359" s="384">
        <v>2345</v>
      </c>
      <c r="B1359" s="638" t="s">
        <v>1874</v>
      </c>
    </row>
    <row r="1360" spans="1:2" ht="15.75" thickBot="1">
      <c r="A1360" s="384">
        <v>2346</v>
      </c>
      <c r="B1360" s="628" t="s">
        <v>1875</v>
      </c>
    </row>
    <row r="1361" spans="1:2" ht="15.75" thickBot="1">
      <c r="A1361" s="384">
        <v>2347</v>
      </c>
      <c r="B1361" s="628" t="s">
        <v>1876</v>
      </c>
    </row>
    <row r="1362" spans="1:2" ht="15.75" thickBot="1">
      <c r="A1362" s="384">
        <v>2348</v>
      </c>
      <c r="B1362" s="647" t="s">
        <v>1873</v>
      </c>
    </row>
    <row r="1363" spans="1:2" ht="15.75" thickBot="1">
      <c r="A1363" s="384">
        <v>2349</v>
      </c>
      <c r="B1363" s="622" t="s">
        <v>1877</v>
      </c>
    </row>
    <row r="1364" spans="1:2" ht="15.75" thickBot="1">
      <c r="A1364" s="384">
        <v>2350</v>
      </c>
      <c r="B1364" s="622" t="s">
        <v>1878</v>
      </c>
    </row>
    <row r="1365" spans="1:2" ht="15.75" thickBot="1">
      <c r="A1365" s="384">
        <v>2351</v>
      </c>
      <c r="B1365" s="622" t="s">
        <v>1879</v>
      </c>
    </row>
    <row r="1366" spans="1:2" ht="15.75" thickBot="1">
      <c r="A1366" s="384">
        <v>2352</v>
      </c>
      <c r="B1366" s="640" t="s">
        <v>1880</v>
      </c>
    </row>
    <row r="1367" spans="1:2" ht="15.75" thickBot="1">
      <c r="A1367" s="384">
        <v>2353</v>
      </c>
      <c r="B1367" s="644" t="s">
        <v>1881</v>
      </c>
    </row>
    <row r="1368" spans="1:2" ht="15.75" thickBot="1">
      <c r="A1368" s="384">
        <v>2354</v>
      </c>
      <c r="B1368" s="638" t="s">
        <v>1882</v>
      </c>
    </row>
    <row r="1369" spans="1:2" ht="15.75" thickBot="1">
      <c r="A1369" s="384">
        <v>2355</v>
      </c>
      <c r="B1369" s="638" t="s">
        <v>1883</v>
      </c>
    </row>
    <row r="1370" spans="1:2" ht="15.75" thickBot="1">
      <c r="A1370" s="384">
        <v>2356</v>
      </c>
      <c r="B1370" s="640" t="s">
        <v>1884</v>
      </c>
    </row>
    <row r="1371" spans="1:2" ht="15.75" thickBot="1">
      <c r="A1371" s="384">
        <v>2357</v>
      </c>
      <c r="B1371" s="640" t="s">
        <v>1885</v>
      </c>
    </row>
    <row r="1372" spans="1:2" ht="15.75" thickBot="1">
      <c r="A1372" s="384">
        <v>2358</v>
      </c>
      <c r="B1372" s="640" t="s">
        <v>1886</v>
      </c>
    </row>
    <row r="1373" spans="1:2" ht="15.75" thickBot="1">
      <c r="A1373" s="384">
        <v>2359</v>
      </c>
      <c r="B1373" s="641" t="s">
        <v>1887</v>
      </c>
    </row>
    <row r="1374" spans="1:2" ht="23.25" thickBot="1">
      <c r="A1374" s="384">
        <v>2360</v>
      </c>
      <c r="B1374" s="626" t="s">
        <v>1888</v>
      </c>
    </row>
    <row r="1375" spans="1:2" ht="15.75" thickBot="1">
      <c r="A1375" s="384">
        <v>2361</v>
      </c>
      <c r="B1375" s="641" t="s">
        <v>1734</v>
      </c>
    </row>
    <row r="1376" spans="1:2" ht="15.75" thickBot="1">
      <c r="A1376" s="384">
        <v>2362</v>
      </c>
      <c r="B1376" s="626" t="s">
        <v>1889</v>
      </c>
    </row>
    <row r="1377" spans="1:2" ht="15.75" thickBot="1">
      <c r="A1377" s="384">
        <v>2363</v>
      </c>
      <c r="B1377" s="641" t="s">
        <v>1890</v>
      </c>
    </row>
    <row r="1378" spans="1:2" ht="23.25" thickBot="1">
      <c r="A1378" s="384">
        <v>2364</v>
      </c>
      <c r="B1378" s="626" t="s">
        <v>1891</v>
      </c>
    </row>
    <row r="1379" spans="1:2" ht="15.75" thickBot="1">
      <c r="A1379" s="384">
        <v>2365</v>
      </c>
      <c r="B1379" s="641" t="s">
        <v>1892</v>
      </c>
    </row>
    <row r="1380" spans="1:2" ht="23.25" thickBot="1">
      <c r="A1380" s="384">
        <v>2366</v>
      </c>
      <c r="B1380" s="626" t="s">
        <v>1893</v>
      </c>
    </row>
    <row r="1381" spans="1:2" ht="15.75" thickBot="1">
      <c r="A1381" s="384">
        <v>2367</v>
      </c>
      <c r="B1381" s="641" t="s">
        <v>1894</v>
      </c>
    </row>
    <row r="1382" spans="1:2" ht="23.25" thickBot="1">
      <c r="A1382" s="384">
        <v>2368</v>
      </c>
      <c r="B1382" s="626" t="s">
        <v>1895</v>
      </c>
    </row>
    <row r="1383" spans="1:2" ht="15.75" thickBot="1">
      <c r="A1383" s="384">
        <v>2369</v>
      </c>
      <c r="B1383" s="641" t="s">
        <v>1896</v>
      </c>
    </row>
    <row r="1384" spans="1:2" ht="23.25" thickBot="1">
      <c r="A1384" s="384">
        <v>2370</v>
      </c>
      <c r="B1384" s="626" t="s">
        <v>1897</v>
      </c>
    </row>
    <row r="1385" spans="1:2" ht="15.75" thickBot="1">
      <c r="A1385" s="384">
        <v>2371</v>
      </c>
      <c r="B1385" s="641" t="s">
        <v>1898</v>
      </c>
    </row>
    <row r="1386" spans="1:2" ht="34.5" thickBot="1">
      <c r="A1386" s="384">
        <v>2372</v>
      </c>
      <c r="B1386" s="626" t="s">
        <v>1899</v>
      </c>
    </row>
    <row r="1387" spans="1:2" ht="15.75" thickBot="1">
      <c r="A1387" s="384">
        <v>2373</v>
      </c>
      <c r="B1387" s="641" t="s">
        <v>29</v>
      </c>
    </row>
    <row r="1388" spans="1:2" ht="23.25" thickBot="1">
      <c r="A1388" s="384">
        <v>2374</v>
      </c>
      <c r="B1388" s="626" t="s">
        <v>1900</v>
      </c>
    </row>
    <row r="1389" spans="1:2" ht="15.75" thickBot="1">
      <c r="A1389" s="384">
        <v>2375</v>
      </c>
      <c r="B1389" s="641" t="s">
        <v>1901</v>
      </c>
    </row>
    <row r="1390" spans="1:2" ht="23.25" thickBot="1">
      <c r="A1390" s="384">
        <v>2376</v>
      </c>
      <c r="B1390" s="626" t="s">
        <v>1902</v>
      </c>
    </row>
    <row r="1391" spans="1:2" ht="15.75" thickBot="1">
      <c r="A1391" s="384">
        <v>2377</v>
      </c>
      <c r="B1391" s="626" t="s">
        <v>1903</v>
      </c>
    </row>
    <row r="1392" spans="1:2" ht="34.5" thickBot="1">
      <c r="A1392" s="384">
        <v>2378</v>
      </c>
      <c r="B1392" s="626" t="s">
        <v>1904</v>
      </c>
    </row>
    <row r="1393" spans="1:2" ht="15.75" thickBot="1">
      <c r="A1393" s="384">
        <v>2379</v>
      </c>
      <c r="B1393" s="641" t="s">
        <v>1905</v>
      </c>
    </row>
    <row r="1394" spans="1:2" ht="23.25" thickBot="1">
      <c r="A1394" s="384">
        <v>2380</v>
      </c>
      <c r="B1394" s="626" t="s">
        <v>1906</v>
      </c>
    </row>
    <row r="1395" spans="1:2" ht="15.75" thickBot="1">
      <c r="A1395" s="384">
        <v>2381</v>
      </c>
      <c r="B1395" s="641" t="s">
        <v>436</v>
      </c>
    </row>
    <row r="1396" spans="1:2" ht="15.75" thickBot="1">
      <c r="A1396" s="384">
        <v>2382</v>
      </c>
      <c r="B1396" s="626" t="s">
        <v>1907</v>
      </c>
    </row>
    <row r="1397" spans="1:2" ht="15.75" thickBot="1">
      <c r="A1397" s="384">
        <v>2383</v>
      </c>
      <c r="B1397" s="641" t="s">
        <v>1908</v>
      </c>
    </row>
    <row r="1398" spans="1:2" ht="23.25" thickBot="1">
      <c r="A1398" s="384">
        <v>2384</v>
      </c>
      <c r="B1398" s="626" t="s">
        <v>1909</v>
      </c>
    </row>
    <row r="1399" spans="1:2" ht="15.75" thickBot="1">
      <c r="A1399" s="384">
        <v>2385</v>
      </c>
      <c r="B1399" s="641" t="s">
        <v>1910</v>
      </c>
    </row>
    <row r="1400" spans="1:2" ht="34.5" thickBot="1">
      <c r="A1400" s="384">
        <v>2386</v>
      </c>
      <c r="B1400" s="626" t="s">
        <v>1911</v>
      </c>
    </row>
    <row r="1401" spans="1:2" ht="15.75" thickBot="1">
      <c r="A1401" s="384">
        <v>2387</v>
      </c>
      <c r="B1401" s="638" t="s">
        <v>1912</v>
      </c>
    </row>
    <row r="1402" spans="1:2" ht="15.75" thickBot="1">
      <c r="A1402" s="384">
        <v>2388</v>
      </c>
      <c r="B1402" s="638" t="s">
        <v>1680</v>
      </c>
    </row>
    <row r="1403" spans="1:2" ht="15.75" thickBot="1">
      <c r="A1403" s="384">
        <v>2389</v>
      </c>
      <c r="B1403" s="640" t="s">
        <v>1913</v>
      </c>
    </row>
    <row r="1404" spans="1:2" ht="15.75" thickBot="1">
      <c r="A1404" s="384">
        <v>2390</v>
      </c>
      <c r="B1404" s="640" t="s">
        <v>1914</v>
      </c>
    </row>
    <row r="1405" spans="1:2" ht="15.75" thickBot="1">
      <c r="A1405" s="384">
        <v>2391</v>
      </c>
      <c r="B1405" s="640" t="s">
        <v>1915</v>
      </c>
    </row>
    <row r="1406" spans="1:2" ht="15.75" thickBot="1">
      <c r="A1406" s="384">
        <v>2392</v>
      </c>
      <c r="B1406" s="640" t="s">
        <v>1903</v>
      </c>
    </row>
    <row r="1407" spans="1:2" ht="15.75" thickBot="1">
      <c r="A1407" s="384">
        <v>2393</v>
      </c>
      <c r="B1407" s="640" t="s">
        <v>1916</v>
      </c>
    </row>
    <row r="1408" spans="1:2" ht="15.75" thickBot="1">
      <c r="A1408" s="384">
        <v>2394</v>
      </c>
      <c r="B1408" s="647" t="s">
        <v>1917</v>
      </c>
    </row>
    <row r="1409" spans="1:2" ht="57" thickBot="1">
      <c r="A1409" s="384">
        <v>2395</v>
      </c>
      <c r="B1409" s="626" t="s">
        <v>1918</v>
      </c>
    </row>
    <row r="1410" spans="1:2" ht="23.25" thickBot="1">
      <c r="A1410" s="384">
        <v>2396</v>
      </c>
      <c r="B1410" s="626" t="s">
        <v>1919</v>
      </c>
    </row>
    <row r="1411" spans="1:2" ht="15.75" thickBot="1">
      <c r="A1411" s="384">
        <v>2397</v>
      </c>
      <c r="B1411" s="626" t="s">
        <v>1920</v>
      </c>
    </row>
    <row r="1412" spans="1:2" ht="129" thickBot="1">
      <c r="A1412" s="384">
        <v>2398</v>
      </c>
      <c r="B1412" s="648" t="s">
        <v>1921</v>
      </c>
    </row>
    <row r="1413" spans="1:2" ht="15.75" thickBot="1">
      <c r="A1413" s="384">
        <v>2399</v>
      </c>
      <c r="B1413" s="644" t="s">
        <v>1922</v>
      </c>
    </row>
    <row r="1414" spans="1:2" ht="23.25" thickBot="1">
      <c r="A1414" s="384">
        <v>2400</v>
      </c>
      <c r="B1414" s="626" t="s">
        <v>1923</v>
      </c>
    </row>
    <row r="1415" spans="1:2" ht="15.75" thickBot="1">
      <c r="A1415" s="384">
        <v>2401</v>
      </c>
      <c r="B1415" s="638" t="s">
        <v>1924</v>
      </c>
    </row>
    <row r="1416" spans="1:2" ht="34.5" thickBot="1">
      <c r="A1416" s="384">
        <v>2402</v>
      </c>
      <c r="B1416" s="626" t="s">
        <v>1925</v>
      </c>
    </row>
    <row r="1417" spans="1:2" ht="15.75" thickBot="1">
      <c r="A1417" s="384">
        <v>2403</v>
      </c>
      <c r="B1417" s="638" t="s">
        <v>1926</v>
      </c>
    </row>
    <row r="1418" spans="1:2" ht="23.25" thickBot="1">
      <c r="A1418" s="384">
        <v>2404</v>
      </c>
      <c r="B1418" s="626" t="s">
        <v>1927</v>
      </c>
    </row>
    <row r="1419" spans="1:2" ht="15.75" thickBot="1">
      <c r="A1419" s="384">
        <v>2405</v>
      </c>
      <c r="B1419" s="644" t="s">
        <v>1928</v>
      </c>
    </row>
    <row r="1420" spans="1:2" ht="15.75" thickBot="1">
      <c r="A1420" s="384">
        <v>2406</v>
      </c>
      <c r="B1420" s="638" t="s">
        <v>1929</v>
      </c>
    </row>
    <row r="1421" spans="1:2" ht="34.5" thickBot="1">
      <c r="A1421" s="384">
        <v>2407</v>
      </c>
      <c r="B1421" s="626" t="s">
        <v>1930</v>
      </c>
    </row>
    <row r="1422" spans="1:2" ht="34.5" thickBot="1">
      <c r="A1422" s="384">
        <v>2408</v>
      </c>
      <c r="B1422" s="626" t="s">
        <v>1931</v>
      </c>
    </row>
    <row r="1423" spans="1:2" ht="23.25" thickBot="1">
      <c r="A1423" s="384">
        <v>2409</v>
      </c>
      <c r="B1423" s="626" t="s">
        <v>1932</v>
      </c>
    </row>
    <row r="1424" spans="1:2" ht="15.75" thickBot="1">
      <c r="A1424" s="384">
        <v>2410</v>
      </c>
      <c r="B1424" s="640" t="s">
        <v>523</v>
      </c>
    </row>
    <row r="1425" spans="1:2" ht="15.75" thickBot="1">
      <c r="A1425" s="384">
        <v>2411</v>
      </c>
      <c r="B1425" s="640" t="s">
        <v>1933</v>
      </c>
    </row>
    <row r="1426" spans="1:2" ht="15.75" thickBot="1">
      <c r="A1426" s="384">
        <v>2412</v>
      </c>
      <c r="B1426" s="638" t="s">
        <v>1934</v>
      </c>
    </row>
    <row r="1427" spans="1:2" ht="34.5" thickBot="1">
      <c r="A1427" s="384">
        <v>2413</v>
      </c>
      <c r="B1427" s="626" t="s">
        <v>1935</v>
      </c>
    </row>
    <row r="1428" spans="1:2" ht="15.75" thickBot="1">
      <c r="A1428" s="384">
        <v>2414</v>
      </c>
      <c r="B1428" s="626" t="s">
        <v>1936</v>
      </c>
    </row>
    <row r="1429" spans="1:2" ht="45.75" thickBot="1">
      <c r="A1429" s="384">
        <v>2415</v>
      </c>
      <c r="B1429" s="626" t="s">
        <v>1937</v>
      </c>
    </row>
    <row r="1430" spans="1:2" ht="15.75" thickBot="1">
      <c r="A1430" s="384">
        <v>2416</v>
      </c>
      <c r="B1430" s="649" t="s">
        <v>1938</v>
      </c>
    </row>
    <row r="1431" spans="1:2" ht="15.75" thickBot="1">
      <c r="A1431" s="384">
        <v>2417</v>
      </c>
      <c r="B1431" s="635" t="s">
        <v>1939</v>
      </c>
    </row>
    <row r="1432" spans="1:2" ht="15.75" thickBot="1">
      <c r="A1432" s="384">
        <v>2418</v>
      </c>
      <c r="B1432" s="635" t="s">
        <v>1940</v>
      </c>
    </row>
    <row r="1433" spans="1:2" ht="15.75" thickBot="1">
      <c r="A1433" s="384">
        <v>2419</v>
      </c>
      <c r="B1433" s="635" t="s">
        <v>1941</v>
      </c>
    </row>
    <row r="1434" spans="1:2" ht="15.75" thickBot="1">
      <c r="A1434" s="384">
        <v>2420</v>
      </c>
      <c r="B1434" s="650" t="s">
        <v>1942</v>
      </c>
    </row>
    <row r="1435" spans="1:2" ht="15.75" thickBot="1">
      <c r="A1435" s="384">
        <v>2421</v>
      </c>
      <c r="B1435" s="650" t="s">
        <v>1943</v>
      </c>
    </row>
    <row r="1436" spans="1:2" ht="15.75" thickBot="1">
      <c r="A1436" s="384">
        <v>2422</v>
      </c>
      <c r="B1436" s="650" t="s">
        <v>1944</v>
      </c>
    </row>
    <row r="1437" spans="1:2" ht="15.75" thickBot="1">
      <c r="A1437" s="384">
        <v>2423</v>
      </c>
      <c r="B1437" s="650" t="s">
        <v>1945</v>
      </c>
    </row>
    <row r="1438" spans="1:2" ht="15.75" thickBot="1">
      <c r="A1438" s="384">
        <v>2424</v>
      </c>
      <c r="B1438" s="650" t="s">
        <v>1946</v>
      </c>
    </row>
    <row r="1439" spans="1:2" ht="15.75" thickBot="1">
      <c r="A1439" s="384">
        <v>2425</v>
      </c>
      <c r="B1439" s="650" t="s">
        <v>1947</v>
      </c>
    </row>
    <row r="1440" spans="1:2" ht="15.75" thickBot="1">
      <c r="A1440" s="384">
        <v>2426</v>
      </c>
      <c r="B1440" s="651" t="s">
        <v>1948</v>
      </c>
    </row>
    <row r="1441" spans="1:2" ht="15.75" thickBot="1">
      <c r="A1441" s="384">
        <v>2427</v>
      </c>
      <c r="B1441" s="650" t="s">
        <v>1949</v>
      </c>
    </row>
    <row r="1442" spans="1:2" ht="15.75" thickBot="1">
      <c r="A1442" s="384">
        <v>2428</v>
      </c>
      <c r="B1442" s="650" t="s">
        <v>1950</v>
      </c>
    </row>
    <row r="1443" spans="1:2" ht="15.75" thickBot="1">
      <c r="A1443" s="384">
        <v>2429</v>
      </c>
      <c r="B1443" s="650" t="s">
        <v>1951</v>
      </c>
    </row>
    <row r="1444" spans="1:2" ht="15.75" thickBot="1">
      <c r="A1444" s="384">
        <v>2430</v>
      </c>
      <c r="B1444" s="650" t="s">
        <v>1952</v>
      </c>
    </row>
    <row r="1445" spans="1:2" ht="15.75" thickBot="1">
      <c r="A1445" s="384">
        <v>2431</v>
      </c>
      <c r="B1445" s="650" t="s">
        <v>1616</v>
      </c>
    </row>
    <row r="1446" spans="1:2" ht="15.75" thickBot="1">
      <c r="A1446" s="384">
        <v>2432</v>
      </c>
      <c r="B1446" s="650" t="s">
        <v>1953</v>
      </c>
    </row>
    <row r="1447" spans="1:2" ht="15.75" thickBot="1">
      <c r="A1447" s="384">
        <v>2433</v>
      </c>
      <c r="B1447" s="650" t="s">
        <v>1954</v>
      </c>
    </row>
    <row r="1448" spans="1:2" ht="15.75" thickBot="1">
      <c r="A1448" s="384">
        <v>2434</v>
      </c>
      <c r="B1448" s="650" t="s">
        <v>1955</v>
      </c>
    </row>
    <row r="1449" spans="1:2" ht="15.75" thickBot="1">
      <c r="A1449" s="384">
        <v>2435</v>
      </c>
      <c r="B1449" s="650" t="s">
        <v>1956</v>
      </c>
    </row>
    <row r="1450" spans="1:2" ht="15.75" thickBot="1">
      <c r="A1450" s="384">
        <v>2436</v>
      </c>
      <c r="B1450" s="650" t="s">
        <v>1957</v>
      </c>
    </row>
    <row r="1451" spans="1:2" ht="15.75" thickBot="1">
      <c r="A1451" s="384">
        <v>2437</v>
      </c>
      <c r="B1451" s="650" t="s">
        <v>1958</v>
      </c>
    </row>
    <row r="1452" spans="1:2" ht="15.75" thickBot="1">
      <c r="A1452" s="384">
        <v>2438</v>
      </c>
      <c r="B1452" s="651" t="s">
        <v>1959</v>
      </c>
    </row>
    <row r="1453" spans="1:2" ht="15.75" thickBot="1">
      <c r="A1453" s="384">
        <v>2439</v>
      </c>
      <c r="B1453" s="651" t="s">
        <v>1960</v>
      </c>
    </row>
    <row r="1454" spans="1:2" ht="15.75" thickBot="1">
      <c r="A1454" s="384">
        <v>2440</v>
      </c>
      <c r="B1454" s="650" t="s">
        <v>1961</v>
      </c>
    </row>
    <row r="1455" spans="1:2" ht="15.75" thickBot="1">
      <c r="A1455" s="384">
        <v>2441</v>
      </c>
      <c r="B1455" s="650" t="s">
        <v>485</v>
      </c>
    </row>
    <row r="1456" spans="1:2" ht="15.75" thickBot="1">
      <c r="A1456" s="384">
        <v>2442</v>
      </c>
      <c r="B1456" s="650" t="s">
        <v>138</v>
      </c>
    </row>
    <row r="1457" spans="1:2" ht="15.75" thickBot="1">
      <c r="A1457" s="384">
        <v>2443</v>
      </c>
      <c r="B1457" s="650" t="s">
        <v>1962</v>
      </c>
    </row>
    <row r="1458" spans="1:2" ht="15.75" thickBot="1">
      <c r="A1458" s="384">
        <v>2444</v>
      </c>
      <c r="B1458" s="651" t="s">
        <v>1963</v>
      </c>
    </row>
    <row r="1459" spans="1:2" ht="15.75" thickBot="1">
      <c r="A1459" s="384">
        <v>2445</v>
      </c>
      <c r="B1459" s="651" t="s">
        <v>1964</v>
      </c>
    </row>
    <row r="1460" spans="1:2" ht="15.75" thickBot="1">
      <c r="A1460" s="384">
        <v>2446</v>
      </c>
      <c r="B1460" s="651" t="s">
        <v>1965</v>
      </c>
    </row>
    <row r="1461" spans="1:2" ht="15.75" thickBot="1">
      <c r="A1461" s="384">
        <v>2447</v>
      </c>
      <c r="B1461" s="651" t="s">
        <v>1966</v>
      </c>
    </row>
    <row r="1462" spans="1:2" ht="15.75" thickBot="1">
      <c r="A1462" s="384">
        <v>2448</v>
      </c>
      <c r="B1462" s="651" t="s">
        <v>1967</v>
      </c>
    </row>
    <row r="1463" spans="1:2" ht="15.75" thickBot="1">
      <c r="A1463" s="384">
        <v>2449</v>
      </c>
      <c r="B1463" s="651" t="s">
        <v>1968</v>
      </c>
    </row>
    <row r="1464" spans="1:2" ht="15.75" thickBot="1">
      <c r="A1464" s="384">
        <v>2450</v>
      </c>
      <c r="B1464" s="651" t="s">
        <v>1969</v>
      </c>
    </row>
    <row r="1465" spans="1:2" ht="15.75" thickBot="1">
      <c r="A1465" s="384">
        <v>2451</v>
      </c>
      <c r="B1465" s="651" t="s">
        <v>1970</v>
      </c>
    </row>
    <row r="1466" spans="1:2" ht="15.75" thickBot="1">
      <c r="A1466" s="384">
        <v>2452</v>
      </c>
      <c r="B1466" s="651" t="s">
        <v>1971</v>
      </c>
    </row>
    <row r="1467" spans="1:2" ht="15.75" thickBot="1">
      <c r="A1467" s="384">
        <v>2453</v>
      </c>
      <c r="B1467" s="651" t="s">
        <v>1972</v>
      </c>
    </row>
    <row r="1468" spans="1:2" ht="15.75" thickBot="1">
      <c r="A1468" s="384">
        <v>2454</v>
      </c>
      <c r="B1468" s="651" t="s">
        <v>1973</v>
      </c>
    </row>
    <row r="1469" spans="1:2" ht="15.75" thickBot="1">
      <c r="A1469" s="384">
        <v>2455</v>
      </c>
      <c r="B1469" s="651" t="s">
        <v>1974</v>
      </c>
    </row>
    <row r="1470" spans="1:2" ht="15.75" thickBot="1">
      <c r="A1470" s="384">
        <v>2456</v>
      </c>
      <c r="B1470" s="651" t="s">
        <v>1975</v>
      </c>
    </row>
    <row r="1471" spans="1:2" ht="15.75" thickBot="1">
      <c r="A1471" s="384">
        <v>2457</v>
      </c>
      <c r="B1471" s="651" t="s">
        <v>1976</v>
      </c>
    </row>
    <row r="1472" spans="1:2" ht="15.75" thickBot="1">
      <c r="A1472" s="384">
        <v>2458</v>
      </c>
      <c r="B1472" s="651" t="s">
        <v>1977</v>
      </c>
    </row>
    <row r="1473" spans="1:2" ht="15.75" thickBot="1">
      <c r="A1473" s="384">
        <v>2459</v>
      </c>
      <c r="B1473" s="651" t="s">
        <v>1978</v>
      </c>
    </row>
    <row r="1474" spans="1:2" ht="15.75" thickBot="1">
      <c r="A1474" s="384">
        <v>2460</v>
      </c>
      <c r="B1474" s="651" t="s">
        <v>1979</v>
      </c>
    </row>
    <row r="1475" spans="1:2" ht="15.75" thickBot="1">
      <c r="A1475" s="384">
        <v>2461</v>
      </c>
      <c r="B1475" s="651" t="s">
        <v>1980</v>
      </c>
    </row>
    <row r="1476" spans="1:2" ht="15.75" thickBot="1">
      <c r="A1476" s="384">
        <v>2462</v>
      </c>
      <c r="B1476" s="651" t="s">
        <v>1981</v>
      </c>
    </row>
    <row r="1477" spans="1:2" ht="15.75" thickBot="1">
      <c r="A1477" s="384">
        <v>2463</v>
      </c>
      <c r="B1477" s="651" t="s">
        <v>1982</v>
      </c>
    </row>
    <row r="1478" spans="1:2" ht="15.75" thickBot="1">
      <c r="A1478" s="384">
        <v>2464</v>
      </c>
      <c r="B1478" s="651" t="s">
        <v>1983</v>
      </c>
    </row>
    <row r="1479" spans="1:2" ht="15.75" thickBot="1">
      <c r="A1479" s="384">
        <v>2465</v>
      </c>
      <c r="B1479" s="651" t="s">
        <v>1984</v>
      </c>
    </row>
    <row r="1480" spans="1:2" ht="15.75" thickBot="1">
      <c r="A1480" s="384">
        <v>2466</v>
      </c>
      <c r="B1480" s="651" t="s">
        <v>1985</v>
      </c>
    </row>
    <row r="1481" spans="1:2" ht="15.75" thickBot="1">
      <c r="A1481" s="582">
        <v>2467</v>
      </c>
      <c r="B1481" s="651" t="s">
        <v>652</v>
      </c>
    </row>
    <row r="1482" spans="1:2" ht="15.75" thickBot="1">
      <c r="A1482" s="582">
        <v>2468</v>
      </c>
      <c r="B1482" s="651" t="s">
        <v>653</v>
      </c>
    </row>
    <row r="1483" spans="1:2" ht="15.75" thickBot="1">
      <c r="A1483" s="582">
        <v>2469</v>
      </c>
      <c r="B1483" s="651" t="s">
        <v>854</v>
      </c>
    </row>
    <row r="1484" spans="1:2" ht="15.75" thickBot="1">
      <c r="A1484" s="582">
        <v>2470</v>
      </c>
      <c r="B1484" s="651" t="s">
        <v>868</v>
      </c>
    </row>
    <row r="1485" spans="1:2" ht="15.75" thickBot="1">
      <c r="A1485" s="582">
        <v>2471</v>
      </c>
      <c r="B1485" s="651" t="s">
        <v>896</v>
      </c>
    </row>
    <row r="1486" spans="1:2" ht="15.75" thickBot="1">
      <c r="A1486" s="582">
        <v>2472</v>
      </c>
      <c r="B1486" s="651" t="s">
        <v>901</v>
      </c>
    </row>
    <row r="1487" spans="1:2" ht="15.75" thickBot="1">
      <c r="A1487" s="582">
        <v>2473</v>
      </c>
      <c r="B1487" s="651" t="s">
        <v>902</v>
      </c>
    </row>
    <row r="1488" spans="1:2" ht="15.75" thickBot="1">
      <c r="A1488" s="582">
        <v>2474</v>
      </c>
      <c r="B1488" s="651" t="s">
        <v>1183</v>
      </c>
    </row>
    <row r="1489" spans="1:2" ht="15.75" thickBot="1">
      <c r="A1489" s="582">
        <v>2475</v>
      </c>
      <c r="B1489" s="651" t="s">
        <v>1529</v>
      </c>
    </row>
    <row r="1490" spans="1:2" ht="15.75" thickBot="1">
      <c r="A1490" s="582">
        <v>2476</v>
      </c>
      <c r="B1490" s="651" t="s">
        <v>1986</v>
      </c>
    </row>
    <row r="1491" spans="1:2" ht="15.75" thickBot="1">
      <c r="A1491" s="582">
        <v>2477</v>
      </c>
      <c r="B1491" s="651" t="s">
        <v>1987</v>
      </c>
    </row>
    <row r="1492" spans="1:6" ht="15">
      <c r="A1492" s="384">
        <v>3000</v>
      </c>
      <c r="B1492" s="652" t="s">
        <v>1988</v>
      </c>
      <c r="D1492" s="405"/>
      <c r="E1492" s="405"/>
      <c r="F1492" s="406"/>
    </row>
    <row r="1493" spans="1:6" ht="30">
      <c r="A1493" s="384">
        <v>3001</v>
      </c>
      <c r="B1493" s="653" t="s">
        <v>1989</v>
      </c>
      <c r="D1493" s="405"/>
      <c r="E1493" s="405"/>
      <c r="F1493" s="406"/>
    </row>
    <row r="1494" spans="1:6" ht="15">
      <c r="A1494" s="384">
        <v>3002</v>
      </c>
      <c r="B1494" s="653" t="s">
        <v>1990</v>
      </c>
      <c r="D1494" s="405"/>
      <c r="E1494" s="405"/>
      <c r="F1494" s="406"/>
    </row>
    <row r="1495" spans="1:2" ht="15">
      <c r="A1495" s="384">
        <v>3003</v>
      </c>
      <c r="B1495" s="654" t="s">
        <v>1991</v>
      </c>
    </row>
    <row r="1496" spans="1:2" ht="15">
      <c r="A1496" s="384">
        <v>3004</v>
      </c>
      <c r="B1496" s="654" t="s">
        <v>1992</v>
      </c>
    </row>
    <row r="1497" spans="1:2" ht="60">
      <c r="A1497" s="384">
        <v>3005</v>
      </c>
      <c r="B1497" s="654" t="s">
        <v>1993</v>
      </c>
    </row>
    <row r="1498" spans="1:2" ht="15">
      <c r="A1498" s="384">
        <v>3006</v>
      </c>
      <c r="B1498" s="654" t="s">
        <v>1994</v>
      </c>
    </row>
    <row r="1499" spans="1:2" ht="15">
      <c r="A1499" s="384">
        <v>3007</v>
      </c>
      <c r="B1499" s="654" t="s">
        <v>1995</v>
      </c>
    </row>
    <row r="1500" spans="1:2" ht="15">
      <c r="A1500" s="384">
        <v>3008</v>
      </c>
      <c r="B1500" s="654" t="s">
        <v>1996</v>
      </c>
    </row>
    <row r="1501" spans="1:2" ht="15">
      <c r="A1501" s="384">
        <v>3009</v>
      </c>
      <c r="B1501" s="654" t="s">
        <v>1997</v>
      </c>
    </row>
    <row r="1502" spans="1:2" ht="15">
      <c r="A1502" s="384">
        <v>3010</v>
      </c>
      <c r="B1502" s="654" t="s">
        <v>1998</v>
      </c>
    </row>
    <row r="1503" spans="1:2" ht="15.75">
      <c r="A1503" s="384">
        <v>3011</v>
      </c>
      <c r="B1503" s="655" t="s">
        <v>1999</v>
      </c>
    </row>
    <row r="1504" spans="1:2" ht="15.75">
      <c r="A1504" s="384">
        <v>3012</v>
      </c>
      <c r="B1504" s="655" t="s">
        <v>2000</v>
      </c>
    </row>
    <row r="1505" spans="1:4" ht="78.75">
      <c r="A1505" s="384">
        <v>3013</v>
      </c>
      <c r="B1505" s="656" t="s">
        <v>2001</v>
      </c>
      <c r="D1505" s="533"/>
    </row>
    <row r="1506" spans="1:4" ht="76.5">
      <c r="A1506" s="384">
        <v>3014</v>
      </c>
      <c r="B1506" s="657" t="s">
        <v>2002</v>
      </c>
      <c r="D1506" s="533"/>
    </row>
    <row r="1507" spans="1:4" ht="25.5">
      <c r="A1507" s="384">
        <v>3015</v>
      </c>
      <c r="B1507" s="658" t="s">
        <v>2003</v>
      </c>
      <c r="D1507" s="533"/>
    </row>
    <row r="1508" spans="1:4" ht="25.5">
      <c r="A1508" s="384">
        <v>3016</v>
      </c>
      <c r="B1508" s="658" t="s">
        <v>2004</v>
      </c>
      <c r="D1508" s="533"/>
    </row>
    <row r="1509" spans="1:4" ht="38.25">
      <c r="A1509" s="384">
        <v>3017</v>
      </c>
      <c r="B1509" s="658" t="s">
        <v>2088</v>
      </c>
      <c r="D1509" s="533"/>
    </row>
    <row r="1510" spans="1:4" ht="38.25">
      <c r="A1510" s="384">
        <v>3018</v>
      </c>
      <c r="B1510" s="657" t="s">
        <v>2005</v>
      </c>
      <c r="D1510" s="533"/>
    </row>
    <row r="1511" spans="1:4" ht="89.25">
      <c r="A1511" s="384">
        <v>3019</v>
      </c>
      <c r="B1511" s="658" t="s">
        <v>2006</v>
      </c>
      <c r="D1511" s="533"/>
    </row>
    <row r="1512" spans="1:4" ht="51">
      <c r="A1512" s="384">
        <v>3020</v>
      </c>
      <c r="B1512" s="657" t="s">
        <v>2007</v>
      </c>
      <c r="D1512" s="533"/>
    </row>
    <row r="1513" spans="1:4" ht="38.25">
      <c r="A1513" s="384">
        <v>3021</v>
      </c>
      <c r="B1513" s="658" t="s">
        <v>2008</v>
      </c>
      <c r="D1513" s="533"/>
    </row>
    <row r="1514" spans="1:4" ht="38.25">
      <c r="A1514" s="384">
        <v>3022</v>
      </c>
      <c r="B1514" s="658" t="s">
        <v>2009</v>
      </c>
      <c r="D1514" s="533"/>
    </row>
    <row r="1515" spans="1:4" ht="51">
      <c r="A1515" s="384">
        <v>3023</v>
      </c>
      <c r="B1515" s="658" t="s">
        <v>2010</v>
      </c>
      <c r="D1515" s="533"/>
    </row>
    <row r="1516" spans="1:4" ht="38.25">
      <c r="A1516" s="384">
        <v>3024</v>
      </c>
      <c r="B1516" s="658" t="s">
        <v>2011</v>
      </c>
      <c r="D1516" s="533"/>
    </row>
    <row r="1517" spans="1:4" ht="51">
      <c r="A1517" s="384">
        <v>3025</v>
      </c>
      <c r="B1517" s="658" t="s">
        <v>2012</v>
      </c>
      <c r="D1517" s="533"/>
    </row>
    <row r="1518" spans="1:4" ht="15">
      <c r="A1518" s="384">
        <v>3026</v>
      </c>
      <c r="B1518" s="659" t="s">
        <v>2013</v>
      </c>
      <c r="D1518" s="533"/>
    </row>
    <row r="1519" spans="1:4" ht="56.25">
      <c r="A1519" s="384">
        <v>3027</v>
      </c>
      <c r="B1519" s="660" t="s">
        <v>2014</v>
      </c>
      <c r="D1519" s="533"/>
    </row>
    <row r="1520" spans="1:4" ht="25.5">
      <c r="A1520" s="384">
        <v>3028</v>
      </c>
      <c r="B1520" s="659" t="s">
        <v>2015</v>
      </c>
      <c r="D1520" s="533"/>
    </row>
    <row r="1521" spans="1:4" ht="15">
      <c r="A1521" s="384">
        <v>3029</v>
      </c>
      <c r="B1521" s="659" t="s">
        <v>2016</v>
      </c>
      <c r="D1521" s="533"/>
    </row>
    <row r="1522" spans="1:4" ht="22.5">
      <c r="A1522" s="384">
        <v>3030</v>
      </c>
      <c r="B1522" s="660" t="s">
        <v>2017</v>
      </c>
      <c r="D1522" s="533"/>
    </row>
    <row r="1523" spans="1:4" ht="33.75">
      <c r="A1523" s="384">
        <v>3031</v>
      </c>
      <c r="B1523" s="660" t="s">
        <v>2018</v>
      </c>
      <c r="D1523" s="533"/>
    </row>
    <row r="1524" spans="1:4" ht="31.5">
      <c r="A1524" s="384">
        <v>3032</v>
      </c>
      <c r="B1524" s="661" t="s">
        <v>2019</v>
      </c>
      <c r="D1524" s="533"/>
    </row>
    <row r="1525" spans="1:4" ht="15.75" thickBot="1">
      <c r="A1525" s="384">
        <v>3033</v>
      </c>
      <c r="B1525" s="662" t="s">
        <v>2020</v>
      </c>
      <c r="D1525" s="533"/>
    </row>
    <row r="1526" spans="1:4" ht="21">
      <c r="A1526" s="384">
        <v>3034</v>
      </c>
      <c r="B1526" s="661" t="s">
        <v>2021</v>
      </c>
      <c r="D1526" s="533"/>
    </row>
    <row r="1527" spans="1:4" ht="22.5">
      <c r="A1527" s="384">
        <v>3035</v>
      </c>
      <c r="B1527" s="660" t="s">
        <v>2022</v>
      </c>
      <c r="D1527" s="533"/>
    </row>
    <row r="1528" spans="1:4" ht="22.5">
      <c r="A1528" s="384">
        <v>3036</v>
      </c>
      <c r="B1528" s="660" t="s">
        <v>2023</v>
      </c>
      <c r="D1528" s="533"/>
    </row>
    <row r="1529" spans="1:4" ht="21">
      <c r="A1529" s="384">
        <v>3037</v>
      </c>
      <c r="B1529" s="661" t="s">
        <v>2024</v>
      </c>
      <c r="D1529" s="533"/>
    </row>
    <row r="1530" spans="1:4" ht="22.5">
      <c r="A1530" s="384">
        <v>3038</v>
      </c>
      <c r="B1530" s="660" t="s">
        <v>2025</v>
      </c>
      <c r="D1530" s="533"/>
    </row>
    <row r="1531" spans="1:4" ht="22.5">
      <c r="A1531" s="384">
        <v>3039</v>
      </c>
      <c r="B1531" s="660" t="s">
        <v>2026</v>
      </c>
      <c r="D1531" s="533"/>
    </row>
    <row r="1532" spans="1:4" ht="25.5">
      <c r="A1532" s="384">
        <v>3040</v>
      </c>
      <c r="B1532" s="659" t="s">
        <v>2027</v>
      </c>
      <c r="D1532" s="533"/>
    </row>
    <row r="1533" spans="1:4" ht="33.75">
      <c r="A1533" s="384">
        <v>3041</v>
      </c>
      <c r="B1533" s="660" t="s">
        <v>2028</v>
      </c>
      <c r="D1533" s="533"/>
    </row>
    <row r="1534" spans="1:4" ht="34.5" thickBot="1">
      <c r="A1534" s="384">
        <v>3042</v>
      </c>
      <c r="B1534" s="660" t="s">
        <v>2029</v>
      </c>
      <c r="D1534" s="533"/>
    </row>
    <row r="1535" spans="1:4" ht="15.75" thickBot="1">
      <c r="A1535" s="384">
        <v>3043</v>
      </c>
      <c r="B1535" s="663" t="s">
        <v>2030</v>
      </c>
      <c r="D1535" s="533"/>
    </row>
    <row r="1536" spans="1:4" ht="15.75" thickBot="1">
      <c r="A1536" s="384">
        <v>3044</v>
      </c>
      <c r="B1536" s="662" t="s">
        <v>2031</v>
      </c>
      <c r="D1536" s="533"/>
    </row>
    <row r="1537" spans="1:4" ht="15.75" thickBot="1">
      <c r="A1537" s="384">
        <v>3045</v>
      </c>
      <c r="B1537" s="662" t="s">
        <v>2032</v>
      </c>
      <c r="D1537" s="533"/>
    </row>
    <row r="1538" spans="1:4" ht="15.75" thickBot="1">
      <c r="A1538" s="384">
        <v>3046</v>
      </c>
      <c r="B1538" s="662" t="s">
        <v>2033</v>
      </c>
      <c r="D1538" s="533"/>
    </row>
    <row r="1539" spans="1:4" ht="15.75" thickBot="1">
      <c r="A1539" s="384">
        <v>3047</v>
      </c>
      <c r="B1539" s="662" t="s">
        <v>2034</v>
      </c>
      <c r="D1539" s="533"/>
    </row>
    <row r="1540" spans="1:4" ht="15.75" thickBot="1">
      <c r="A1540" s="384">
        <v>3048</v>
      </c>
      <c r="B1540" s="662" t="s">
        <v>2035</v>
      </c>
      <c r="D1540" s="533"/>
    </row>
    <row r="1541" spans="1:4" ht="15.75" thickBot="1">
      <c r="A1541" s="384">
        <v>3049</v>
      </c>
      <c r="B1541" s="662" t="s">
        <v>2036</v>
      </c>
      <c r="D1541" s="533"/>
    </row>
    <row r="1542" spans="1:4" ht="15.75" thickBot="1">
      <c r="A1542" s="384">
        <v>3050</v>
      </c>
      <c r="B1542" s="662" t="s">
        <v>2034</v>
      </c>
      <c r="D1542" s="533"/>
    </row>
    <row r="1543" spans="1:4" ht="21.75" thickBot="1">
      <c r="A1543" s="384">
        <v>3051</v>
      </c>
      <c r="B1543" s="661" t="s">
        <v>2037</v>
      </c>
      <c r="D1543" s="533"/>
    </row>
    <row r="1544" spans="1:4" ht="15.75" thickBot="1">
      <c r="A1544" s="384">
        <v>3052</v>
      </c>
      <c r="B1544" s="663" t="s">
        <v>2038</v>
      </c>
      <c r="D1544" s="533"/>
    </row>
    <row r="1545" spans="1:4" ht="15.75" thickBot="1">
      <c r="A1545" s="384">
        <v>3053</v>
      </c>
      <c r="B1545" s="662" t="s">
        <v>2039</v>
      </c>
      <c r="D1545" s="533"/>
    </row>
    <row r="1546" spans="1:4" ht="31.5">
      <c r="A1546" s="384">
        <v>3054</v>
      </c>
      <c r="B1546" s="661" t="s">
        <v>2040</v>
      </c>
      <c r="D1546" s="533"/>
    </row>
    <row r="1547" spans="1:4" ht="21.75" thickBot="1">
      <c r="A1547" s="384">
        <v>3055</v>
      </c>
      <c r="B1547" s="661" t="s">
        <v>2041</v>
      </c>
      <c r="D1547" s="533"/>
    </row>
    <row r="1548" spans="1:4" ht="15">
      <c r="A1548" s="384">
        <v>3056</v>
      </c>
      <c r="B1548" s="664" t="s">
        <v>2042</v>
      </c>
      <c r="D1548" s="533"/>
    </row>
    <row r="1549" spans="1:4" ht="18">
      <c r="A1549" s="384">
        <v>3057</v>
      </c>
      <c r="B1549" s="665" t="s">
        <v>2043</v>
      </c>
      <c r="D1549" s="533"/>
    </row>
    <row r="1550" spans="1:4" ht="15.75">
      <c r="A1550" s="384">
        <v>3058</v>
      </c>
      <c r="B1550" s="655" t="s">
        <v>2044</v>
      </c>
      <c r="D1550" s="533"/>
    </row>
    <row r="1551" spans="1:4" ht="25.5">
      <c r="A1551" s="384">
        <v>3059</v>
      </c>
      <c r="B1551" s="659" t="s">
        <v>2045</v>
      </c>
      <c r="D1551" s="533"/>
    </row>
    <row r="1552" spans="1:4" ht="22.5">
      <c r="A1552" s="384">
        <v>3060</v>
      </c>
      <c r="B1552" s="660" t="s">
        <v>2046</v>
      </c>
      <c r="D1552" s="533"/>
    </row>
    <row r="1553" spans="1:4" ht="25.5">
      <c r="A1553" s="384">
        <v>3061</v>
      </c>
      <c r="B1553" s="659" t="s">
        <v>2047</v>
      </c>
      <c r="D1553" s="533"/>
    </row>
    <row r="1554" spans="1:4" ht="22.5">
      <c r="A1554" s="384">
        <v>3062</v>
      </c>
      <c r="B1554" s="660" t="s">
        <v>2048</v>
      </c>
      <c r="D1554" s="533"/>
    </row>
    <row r="1555" spans="1:4" ht="15">
      <c r="A1555" s="384">
        <v>3063</v>
      </c>
      <c r="B1555" s="659" t="s">
        <v>2049</v>
      </c>
      <c r="D1555" s="533"/>
    </row>
    <row r="1556" spans="1:4" ht="22.5">
      <c r="A1556" s="384">
        <v>3064</v>
      </c>
      <c r="B1556" s="660" t="s">
        <v>2050</v>
      </c>
      <c r="D1556" s="533"/>
    </row>
    <row r="1557" spans="1:4" ht="34.5" thickBot="1">
      <c r="A1557" s="384">
        <v>3065</v>
      </c>
      <c r="B1557" s="660" t="s">
        <v>2051</v>
      </c>
      <c r="D1557" s="533"/>
    </row>
    <row r="1558" spans="1:4" ht="15">
      <c r="A1558" s="384">
        <v>3066</v>
      </c>
      <c r="B1558" s="664" t="s">
        <v>2052</v>
      </c>
      <c r="D1558" s="533"/>
    </row>
    <row r="1559" spans="1:4" ht="36">
      <c r="A1559" s="384">
        <v>3067</v>
      </c>
      <c r="B1559" s="665" t="s">
        <v>2053</v>
      </c>
      <c r="D1559" s="533"/>
    </row>
    <row r="1560" spans="1:4" ht="15.75">
      <c r="A1560" s="384">
        <v>3068</v>
      </c>
      <c r="B1560" s="655" t="s">
        <v>2054</v>
      </c>
      <c r="D1560" s="533"/>
    </row>
    <row r="1561" spans="1:4" ht="22.5">
      <c r="A1561" s="384">
        <v>3069</v>
      </c>
      <c r="B1561" s="660" t="s">
        <v>2055</v>
      </c>
      <c r="D1561" s="533"/>
    </row>
    <row r="1562" spans="1:4" ht="15">
      <c r="A1562" s="384">
        <v>3070</v>
      </c>
      <c r="B1562" s="659" t="s">
        <v>2056</v>
      </c>
      <c r="D1562" s="533"/>
    </row>
    <row r="1563" spans="1:4" ht="15">
      <c r="A1563" s="384">
        <v>3071</v>
      </c>
      <c r="B1563" s="666" t="s">
        <v>2057</v>
      </c>
      <c r="D1563" s="533"/>
    </row>
    <row r="1564" spans="1:4" ht="15">
      <c r="A1564" s="384">
        <v>3072</v>
      </c>
      <c r="B1564" s="666" t="s">
        <v>2058</v>
      </c>
      <c r="D1564" s="533"/>
    </row>
    <row r="1565" spans="1:4" ht="15.75" thickBot="1">
      <c r="A1565" s="384">
        <v>3073</v>
      </c>
      <c r="B1565" s="662" t="s">
        <v>2059</v>
      </c>
      <c r="D1565" s="533"/>
    </row>
    <row r="1566" spans="1:4" ht="15.75" thickBot="1">
      <c r="A1566" s="384">
        <v>3074</v>
      </c>
      <c r="B1566" s="667" t="s">
        <v>1702</v>
      </c>
      <c r="D1566" s="533"/>
    </row>
    <row r="1567" spans="1:4" ht="15">
      <c r="A1567" s="384">
        <v>3075</v>
      </c>
      <c r="B1567" s="668" t="s">
        <v>2060</v>
      </c>
      <c r="D1567" s="533"/>
    </row>
    <row r="1568" spans="1:4" ht="18">
      <c r="A1568" s="384">
        <v>3076</v>
      </c>
      <c r="B1568" s="665" t="s">
        <v>2061</v>
      </c>
      <c r="D1568" s="533"/>
    </row>
    <row r="1569" spans="1:4" ht="31.5">
      <c r="A1569" s="384">
        <v>3077</v>
      </c>
      <c r="B1569" s="655" t="s">
        <v>2062</v>
      </c>
      <c r="D1569" s="533"/>
    </row>
    <row r="1570" spans="1:4" ht="15.75">
      <c r="A1570" s="384">
        <v>3078</v>
      </c>
      <c r="B1570" s="655" t="s">
        <v>2063</v>
      </c>
      <c r="D1570" s="533"/>
    </row>
    <row r="1571" spans="1:4" ht="30">
      <c r="A1571" s="384">
        <v>3079</v>
      </c>
      <c r="B1571" s="653" t="s">
        <v>2064</v>
      </c>
      <c r="D1571" s="533"/>
    </row>
    <row r="1572" spans="1:2" ht="15">
      <c r="A1572" s="384">
        <v>3080</v>
      </c>
      <c r="B1572" s="669" t="s">
        <v>1755</v>
      </c>
    </row>
    <row r="1573" spans="1:2" ht="15">
      <c r="A1573" s="384">
        <v>3081</v>
      </c>
      <c r="B1573" s="669" t="s">
        <v>578</v>
      </c>
    </row>
    <row r="1574" spans="1:2" ht="15">
      <c r="A1574" s="384">
        <v>3082</v>
      </c>
      <c r="B1574" s="669" t="s">
        <v>2065</v>
      </c>
    </row>
    <row r="1575" spans="1:11" ht="22.5">
      <c r="A1575" s="384">
        <v>3083</v>
      </c>
      <c r="B1575" s="660" t="s">
        <v>2066</v>
      </c>
      <c r="D1575" s="534"/>
      <c r="E1575" s="534"/>
      <c r="F1575" s="534"/>
      <c r="G1575" s="534"/>
      <c r="H1575" s="534"/>
      <c r="I1575" s="534"/>
      <c r="J1575" s="534"/>
      <c r="K1575" s="534"/>
    </row>
    <row r="1576" spans="1:2" ht="15">
      <c r="A1576" s="384">
        <v>3084</v>
      </c>
      <c r="B1576" s="654" t="s">
        <v>2067</v>
      </c>
    </row>
    <row r="1577" spans="1:2" ht="30">
      <c r="A1577" s="384">
        <v>3085</v>
      </c>
      <c r="B1577" s="654" t="s">
        <v>2068</v>
      </c>
    </row>
    <row r="1578" spans="1:2" ht="45">
      <c r="A1578" s="384">
        <v>3086</v>
      </c>
      <c r="B1578" s="654" t="s">
        <v>2069</v>
      </c>
    </row>
    <row r="1579" spans="1:2" ht="60">
      <c r="A1579" s="384">
        <v>3087</v>
      </c>
      <c r="B1579" s="654" t="s">
        <v>2070</v>
      </c>
    </row>
    <row r="1580" spans="1:2" ht="30">
      <c r="A1580" s="384">
        <v>3088</v>
      </c>
      <c r="B1580" s="654" t="s">
        <v>2071</v>
      </c>
    </row>
    <row r="1581" spans="1:2" ht="30">
      <c r="A1581" s="384">
        <v>3089</v>
      </c>
      <c r="B1581" s="654" t="s">
        <v>2072</v>
      </c>
    </row>
    <row r="1582" spans="1:2" ht="15">
      <c r="A1582" s="384">
        <v>3090</v>
      </c>
      <c r="B1582" s="654" t="s">
        <v>2073</v>
      </c>
    </row>
    <row r="1583" spans="1:2" ht="45">
      <c r="A1583" s="384">
        <v>3091</v>
      </c>
      <c r="B1583" s="654" t="s">
        <v>2074</v>
      </c>
    </row>
    <row r="1584" spans="1:2" ht="60">
      <c r="A1584" s="384">
        <v>3092</v>
      </c>
      <c r="B1584" s="654" t="s">
        <v>2075</v>
      </c>
    </row>
    <row r="1585" spans="1:2" ht="15">
      <c r="A1585" s="384">
        <v>3093</v>
      </c>
      <c r="B1585" s="493" t="s">
        <v>2076</v>
      </c>
    </row>
    <row r="1586" spans="1:2" ht="15">
      <c r="A1586" s="384">
        <v>3094</v>
      </c>
      <c r="B1586" s="670" t="s">
        <v>2077</v>
      </c>
    </row>
    <row r="1587" spans="1:2" ht="15">
      <c r="A1587" s="384">
        <v>3095</v>
      </c>
      <c r="B1587" s="670" t="s">
        <v>2078</v>
      </c>
    </row>
    <row r="1588" spans="1:2" ht="15">
      <c r="A1588" s="384">
        <v>3096</v>
      </c>
      <c r="B1588" s="654" t="s">
        <v>2079</v>
      </c>
    </row>
    <row r="1589" spans="1:2" ht="30">
      <c r="A1589" s="384">
        <v>3097</v>
      </c>
      <c r="B1589" s="654" t="s">
        <v>2080</v>
      </c>
    </row>
    <row r="1590" spans="1:2" ht="33.75">
      <c r="A1590" s="384">
        <v>3098</v>
      </c>
      <c r="B1590" s="660" t="s">
        <v>2081</v>
      </c>
    </row>
    <row r="1591" spans="1:2" ht="45">
      <c r="A1591" s="384">
        <v>3099</v>
      </c>
      <c r="B1591" s="660" t="s">
        <v>2082</v>
      </c>
    </row>
    <row r="1592" spans="1:2" ht="22.5">
      <c r="A1592" s="384">
        <v>3100</v>
      </c>
      <c r="B1592" s="660" t="s">
        <v>2083</v>
      </c>
    </row>
    <row r="1593" spans="1:2" ht="30">
      <c r="A1593" s="384">
        <v>3101</v>
      </c>
      <c r="B1593" s="671" t="s">
        <v>2084</v>
      </c>
    </row>
    <row r="1594" spans="1:2" ht="54">
      <c r="A1594" s="384">
        <v>3102</v>
      </c>
      <c r="B1594" s="672" t="s">
        <v>2086</v>
      </c>
    </row>
    <row r="1595" spans="1:2" ht="15">
      <c r="A1595" s="384">
        <v>3103</v>
      </c>
      <c r="B1595" s="673" t="s">
        <v>2087</v>
      </c>
    </row>
  </sheetData>
  <sheetProtection sheet="1" objects="1" scenarios="1" formatCells="0" formatColumns="0" formatRows="0"/>
  <autoFilter ref="A1:C1595"/>
  <conditionalFormatting sqref="B337">
    <cfRule type="expression" priority="1" dxfId="0" stopIfTrue="1">
      <formula>CNTR_HasErrors_A</formula>
    </cfRule>
  </conditionalFormatting>
  <conditionalFormatting sqref="B713">
    <cfRule type="expression" priority="2" dxfId="0" stopIfTrue="1">
      <formula>Translations!#REF!</formula>
    </cfRule>
  </conditionalFormatting>
  <conditionalFormatting sqref="B342">
    <cfRule type="expression" priority="3" dxfId="0" stopIfTrue="1">
      <formula>$C$399</formula>
    </cfRule>
  </conditionalFormatting>
  <conditionalFormatting sqref="B672">
    <cfRule type="expression" priority="4" dxfId="0" stopIfTrue="1">
      <formula>$C$1109</formula>
    </cfRule>
  </conditionalFormatting>
  <conditionalFormatting sqref="B711">
    <cfRule type="expression" priority="5" dxfId="0" stopIfTrue="1">
      <formula>$C$555</formula>
    </cfRule>
  </conditionalFormatting>
  <conditionalFormatting sqref="B712">
    <cfRule type="expression" priority="6" dxfId="0" stopIfTrue="1">
      <formula>$C$550</formula>
    </cfRule>
  </conditionalFormatting>
  <conditionalFormatting sqref="B714">
    <cfRule type="expression" priority="7" dxfId="0" stopIfTrue="1">
      <formula>$C$551</formula>
    </cfRule>
  </conditionalFormatting>
  <conditionalFormatting sqref="B715">
    <cfRule type="expression" priority="8" dxfId="0" stopIfTrue="1">
      <formula>$C$552</formula>
    </cfRule>
  </conditionalFormatting>
  <conditionalFormatting sqref="B716">
    <cfRule type="expression" priority="9" dxfId="0" stopIfTrue="1">
      <formula>$C$553</formula>
    </cfRule>
  </conditionalFormatting>
  <conditionalFormatting sqref="B717">
    <cfRule type="expression" priority="10" dxfId="0" stopIfTrue="1">
      <formula>$C$554</formula>
    </cfRule>
  </conditionalFormatting>
  <hyperlinks>
    <hyperlink ref="B277" location="JUMP_Guidelines_Home" display="Next sheet"/>
    <hyperlink ref="B278" r:id="rId1" display="Summary"/>
    <hyperlink ref="B279" location="JUMP_Coverpage_Top" display="Top of sheet"/>
    <hyperlink ref="B280" location="JUMP_Coverpage_Bottom" display="End of sheet"/>
    <hyperlink ref="B290" location="JUMP_TOC_Home" display="Table of contents"/>
    <hyperlink ref="B291" location="JUMP_TOC_Home" display="Previous sheet"/>
    <hyperlink ref="B294" r:id="rId2" display="http://eur-lex.europa.eu/LexUriServ/LexUriServ.do?uri=CONSLEG:2003L0087:20090625:EN:PDF"/>
    <hyperlink ref="B328" r:id="rId3" display="http://eur-lex.europa.eu/en/index.htm "/>
    <hyperlink ref="B330" r:id="rId4" display="http://ec.europa.eu/clima/policies/ets/index_en.htm"/>
    <hyperlink ref="B336" location="JUMP_A_I" display="&lt;&lt;&lt; Click here to proceed to next sheet &gt;&gt;&gt; "/>
    <hyperlink ref="B338" location="JUMP_A_I1" display="Installation ID"/>
    <hyperlink ref="B339" location="JUMP_A_I2" display="Contact persons"/>
    <hyperlink ref="B340" r:id="rId5" display="Verifier"/>
    <hyperlink ref="B341" location="JUMP_A_I4" display="Further information"/>
    <hyperlink ref="B342" r:id="rId6" display="Eligibility"/>
    <hyperlink ref="B343" location="JUMP_A_IV1" display="Technical connections"/>
    <hyperlink ref="B399" r:id="rId7" display="http://ec.europa.eu/eurostat/ramon/nomenclatures/index.cfm?TargetUrl=LST_CLS_DLD&amp;StrNom=NACE_1_1&amp;StrLanguageCode=EN&amp;StrLayoutCode=HIERARCHIC"/>
    <hyperlink ref="B401" r:id="rId8" display="http://ec.europa.eu/eurostat/ramon/nomenclatures/index.cfm?TargetUrl=LST_CLS_DLD&amp;StrNom=NACE_REV2&amp;StrLanguageCode=EN&amp;StrLayoutCode=HIERARCHIC"/>
    <hyperlink ref="B469" r:id="rId9" display="N2O"/>
    <hyperlink ref="B471" r:id="rId10" display="Emissions and Energy Input"/>
    <hyperlink ref="B472" r:id="rId11" display="Emissions Attribution"/>
    <hyperlink ref="B473" r:id="rId12" display="Waste gases (1)"/>
    <hyperlink ref="B474" r:id="rId13" display="Waste gases (2)"/>
    <hyperlink ref="B549" r:id="rId14" display="Attribution of Fuels"/>
    <hyperlink ref="B550" r:id="rId15" display="Heat (final result)"/>
    <hyperlink ref="B551" r:id="rId16" display="Electricity"/>
    <hyperlink ref="B705" r:id="rId17" display="http://ec.europa.eu/eurostat/ramon/nomenclatures/index.cfm?TargetUrl=LST_CLS_DLD&amp;StrNom=PRD_2007&amp;StrLanguageCode=EN&amp;StrLayoutCode"/>
    <hyperlink ref="B707" r:id="rId18" display="http://ec.europa.eu/eurostat/ramon/nomenclatures/index.cfm?TargetUrl=LST_CLS_DLD&amp;StrNom=PRD_2010&amp;StrLanguageCode=EN&amp;StrLayoutCode=HIERARCHIC"/>
    <hyperlink ref="B712" r:id="rId19" display="Heat benchmark, CL"/>
    <hyperlink ref="B713" r:id="rId20" display="Heat benchmark, non-CL"/>
    <hyperlink ref="B714" r:id="rId21" display="Fuel benchmark, CL"/>
    <hyperlink ref="B715" r:id="rId22" display="Fuel benchmark, non-CL"/>
    <hyperlink ref="B716" r:id="rId23" display="Process emissions, CL"/>
    <hyperlink ref="B717" r:id="rId24" display="Process emissions, non-CL"/>
    <hyperlink ref="B944" r:id="rId25" display="Installation data"/>
    <hyperlink ref="B945" r:id="rId26" display="Emissions &amp; Energy Flows"/>
    <hyperlink ref="B946" r:id="rId27" display="Sub-installation Data"/>
    <hyperlink ref="B947" r:id="rId28" display="Preliminary allocation"/>
    <hyperlink ref="B1008" r:id="rId29" display="The results displayed here are by no means legally binding. Please see disclaimer in the introduction of this section."/>
    <hyperlink ref="B1017" r:id="rId30" display="http://eur-lex.europa.eu/LexUriServ/LexUriServ.do?uri=CONSLEG:2011D0278:20111117:FR:PDF"/>
    <hyperlink ref="B1025" r:id="rId31" display="http://ec.europa.eu/clima/policies/ets/benchmarking/documentation_en.htm"/>
    <hyperlink ref="B332" r:id="rId32" display="http://www.developpement-durable.gouv.fr/-Systeme-d-echange-de-quotas-.html"/>
  </hyperlinks>
  <printOptions/>
  <pageMargins left="0.7" right="0.7" top="0.787401575" bottom="0.787401575" header="0.3" footer="0.3"/>
  <pageSetup fitToHeight="4" fitToWidth="1" horizontalDpi="600" verticalDpi="600" orientation="portrait" paperSize="9" r:id="rId33"/>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tabColor indexed="57"/>
    <pageSetUpPr fitToPage="1"/>
  </sheetPr>
  <dimension ref="A1:E89"/>
  <sheetViews>
    <sheetView zoomScalePageLayoutView="0" workbookViewId="0" topLeftCell="A1">
      <selection activeCell="B3" sqref="B3"/>
    </sheetView>
  </sheetViews>
  <sheetFormatPr defaultColWidth="9.140625" defaultRowHeight="12.75"/>
  <cols>
    <col min="1" max="1" width="23.421875" style="82" customWidth="1"/>
    <col min="2" max="2" width="34.7109375" style="82" customWidth="1"/>
    <col min="3" max="3" width="15.140625" style="82" customWidth="1"/>
    <col min="4" max="4" width="15.421875" style="82" customWidth="1"/>
    <col min="5" max="16384" width="9.140625" style="82" customWidth="1"/>
  </cols>
  <sheetData>
    <row r="1" ht="13.5" thickBot="1">
      <c r="A1" s="84" t="s">
        <v>172</v>
      </c>
    </row>
    <row r="2" spans="1:2" ht="13.5" thickBot="1">
      <c r="A2" s="158" t="s">
        <v>173</v>
      </c>
      <c r="B2" s="159" t="s">
        <v>550</v>
      </c>
    </row>
    <row r="3" spans="1:5" ht="13.5" thickBot="1">
      <c r="A3" s="160" t="s">
        <v>171</v>
      </c>
      <c r="B3" s="161">
        <v>42330</v>
      </c>
      <c r="C3" s="162" t="str">
        <f>IF(ISNUMBER(MATCH(B3,A15:A27,0)),VLOOKUP(B3,A15:B27,2,FALSE),"---")</f>
        <v>NE&amp;C MergerSplit_2015-11-22_COM_fr.XLS</v>
      </c>
      <c r="D3" s="163"/>
      <c r="E3" s="164"/>
    </row>
    <row r="4" spans="1:2" ht="12.75">
      <c r="A4" s="165" t="s">
        <v>176</v>
      </c>
      <c r="B4" s="166" t="s">
        <v>177</v>
      </c>
    </row>
    <row r="5" spans="1:2" ht="13.5" thickBot="1">
      <c r="A5" s="167" t="s">
        <v>175</v>
      </c>
      <c r="B5" s="168" t="s">
        <v>194</v>
      </c>
    </row>
    <row r="6" ht="12.75"/>
    <row r="7" ht="12.75">
      <c r="A7" s="169" t="s">
        <v>174</v>
      </c>
    </row>
    <row r="8" spans="1:3" ht="12.75">
      <c r="A8" s="112" t="s">
        <v>514</v>
      </c>
      <c r="B8" s="112"/>
      <c r="C8" s="170" t="s">
        <v>515</v>
      </c>
    </row>
    <row r="9" spans="1:3" ht="12.75">
      <c r="A9" s="112" t="s">
        <v>82</v>
      </c>
      <c r="B9" s="112"/>
      <c r="C9" s="170" t="s">
        <v>83</v>
      </c>
    </row>
    <row r="10" spans="1:3" ht="12.75">
      <c r="A10" s="112" t="s">
        <v>305</v>
      </c>
      <c r="B10" s="112"/>
      <c r="C10" s="170" t="s">
        <v>305</v>
      </c>
    </row>
    <row r="11" spans="1:3" ht="12.75">
      <c r="A11" s="112" t="s">
        <v>453</v>
      </c>
      <c r="B11" s="112"/>
      <c r="C11" s="170" t="s">
        <v>55</v>
      </c>
    </row>
    <row r="12" spans="1:3" ht="12.75">
      <c r="A12" s="482" t="s">
        <v>550</v>
      </c>
      <c r="B12" s="112"/>
      <c r="C12" s="483" t="s">
        <v>551</v>
      </c>
    </row>
    <row r="13" ht="12.75">
      <c r="A13" s="90"/>
    </row>
    <row r="14" spans="1:3" ht="12.75">
      <c r="A14" s="84" t="s">
        <v>434</v>
      </c>
      <c r="B14" s="84" t="s">
        <v>380</v>
      </c>
      <c r="C14" s="84" t="s">
        <v>102</v>
      </c>
    </row>
    <row r="15" spans="1:4" ht="12.75">
      <c r="A15" s="171">
        <v>42009</v>
      </c>
      <c r="B15" s="174" t="str">
        <f aca="true" t="shared" si="0" ref="B15:B22">IF(ISBLANK(A15),"",CONCATENATE(VLOOKUP($B$2,$A$8:$C$12,3,0),"_",TEXT(YEAR(A15),"####"),"-",TEXT(MONTH(A15),"0#"),"-",TEXT(DAY(A15),"0#"),"_",VLOOKUP($B$4,$A$30:$B$62,2,0),"_",VLOOKUP($B$5,$A$65:$B$89,2,0),".XLS"))</f>
        <v>NE&amp;C MergerSplit_2015-01-05_COM_fr.XLS</v>
      </c>
      <c r="C15" s="484" t="s">
        <v>557</v>
      </c>
      <c r="D15" s="172"/>
    </row>
    <row r="16" spans="1:4" ht="12.75">
      <c r="A16" s="173">
        <v>42044</v>
      </c>
      <c r="B16" s="174" t="str">
        <f t="shared" si="0"/>
        <v>NE&amp;C MergerSplit_2015-02-09_COM_fr.XLS</v>
      </c>
      <c r="C16" s="375" t="s">
        <v>560</v>
      </c>
      <c r="D16" s="176"/>
    </row>
    <row r="17" spans="1:4" ht="12.75">
      <c r="A17" s="173">
        <v>42223</v>
      </c>
      <c r="B17" s="174" t="str">
        <f t="shared" si="0"/>
        <v>NE&amp;C MergerSplit_2015-08-07_COM_fr.XLS</v>
      </c>
      <c r="C17" s="375" t="s">
        <v>561</v>
      </c>
      <c r="D17" s="176"/>
    </row>
    <row r="18" spans="1:4" ht="12.75">
      <c r="A18" s="173">
        <v>42284</v>
      </c>
      <c r="B18" s="174" t="str">
        <f t="shared" si="0"/>
        <v>NE&amp;C MergerSplit_2015-10-07_COM_fr.XLS</v>
      </c>
      <c r="C18" s="375" t="s">
        <v>568</v>
      </c>
      <c r="D18" s="176"/>
    </row>
    <row r="19" spans="1:4" ht="12.75">
      <c r="A19" s="173">
        <v>42318</v>
      </c>
      <c r="B19" s="174" t="str">
        <f t="shared" si="0"/>
        <v>NE&amp;C MergerSplit_2015-11-10_COM_fr.XLS</v>
      </c>
      <c r="C19" s="175" t="s">
        <v>572</v>
      </c>
      <c r="D19" s="176"/>
    </row>
    <row r="20" spans="1:4" ht="12.75">
      <c r="A20" s="173">
        <v>42330</v>
      </c>
      <c r="B20" s="174" t="str">
        <f t="shared" si="0"/>
        <v>NE&amp;C MergerSplit_2015-11-22_COM_fr.XLS</v>
      </c>
      <c r="C20" s="375" t="s">
        <v>2085</v>
      </c>
      <c r="D20" s="176"/>
    </row>
    <row r="21" spans="1:4" ht="12.75">
      <c r="A21" s="173"/>
      <c r="B21" s="174">
        <f t="shared" si="0"/>
      </c>
      <c r="C21" s="175"/>
      <c r="D21" s="176"/>
    </row>
    <row r="22" spans="1:4" ht="12.75">
      <c r="A22" s="173"/>
      <c r="B22" s="174">
        <f t="shared" si="0"/>
      </c>
      <c r="C22" s="175"/>
      <c r="D22" s="176"/>
    </row>
    <row r="23" spans="1:4" ht="12.75">
      <c r="A23" s="173"/>
      <c r="B23" s="174">
        <f>IF(ISBLANK(A23),"",CONCATENATE(VLOOKUP($B$2,$A$8:$C$12,3,0),"_",TEXT(YEAR(A23),"####"),"-",TEXT(MONTH(A23),"0#"),"-",TEXT(DAY(A23),"0#"),"_",VLOOKUP($B$4,$A$30:$B$62,2,0),"_",VLOOKUP($B$5,$A$65:$B$89,2,0),".XLS"))</f>
      </c>
      <c r="C23" s="175"/>
      <c r="D23" s="176"/>
    </row>
    <row r="24" spans="1:4" ht="12.75">
      <c r="A24" s="173"/>
      <c r="B24" s="174">
        <f>IF(ISBLANK(A24),"",CONCATENATE(VLOOKUP($B$2,$A$8:$C$12,3,0),"_",TEXT(YEAR(A24),"####"),"-",TEXT(MONTH(A24),"0#"),"-",TEXT(DAY(A24),"0#"),"_",VLOOKUP($B$4,$A$30:$B$62,2,0),"_",VLOOKUP($B$5,$A$65:$B$89,2,0),".XLS"))</f>
      </c>
      <c r="C24" s="375"/>
      <c r="D24" s="176"/>
    </row>
    <row r="25" spans="1:4" ht="12.75">
      <c r="A25" s="173"/>
      <c r="B25" s="174">
        <f>IF(ISBLANK(A25),"",CONCATENATE(VLOOKUP($B$2,$A$8:$C$12,3,0),"_",TEXT(YEAR(A25),"####"),"-",TEXT(MONTH(A25),"0#"),"-",TEXT(DAY(A25),"0#"),"_",VLOOKUP($B$4,$A$30:$B$62,2,0),"_",VLOOKUP($B$5,$A$65:$B$89,2,0),".XLS"))</f>
      </c>
      <c r="C25" s="175"/>
      <c r="D25" s="176"/>
    </row>
    <row r="26" spans="1:4" ht="12.75">
      <c r="A26" s="173"/>
      <c r="B26" s="174">
        <f>IF(ISBLANK(A26),"",CONCATENATE(VLOOKUP($B$2,$A$8:$C$12,3,0),"_",TEXT(YEAR(A26),"####"),"-",TEXT(MONTH(A26),"0#"),"-",TEXT(DAY(A26),"0#"),"_",VLOOKUP($B$4,$A$30:$B$62,2,0),"_",VLOOKUP($B$5,$A$65:$B$89,2,0),".XLS"))</f>
      </c>
      <c r="C26" s="175"/>
      <c r="D26" s="176"/>
    </row>
    <row r="27" spans="1:4" ht="12.75">
      <c r="A27" s="254"/>
      <c r="B27" s="177">
        <f>IF(ISBLANK(A27),"",CONCATENATE(VLOOKUP($B$2,$A$8:$C$12,3,0),"_",TEXT(YEAR(A27),"####"),"-",TEXT(MONTH(A27),"0#"),"-",TEXT(DAY(A27),"0#"),"_",VLOOKUP($B$4,$A$30:$B$62,2,0),"_",VLOOKUP($B$5,$A$65:$B$89,2,0),".XLS"))</f>
      </c>
      <c r="C27" s="178"/>
      <c r="D27" s="179"/>
    </row>
    <row r="29" ht="12.75">
      <c r="A29" s="84" t="s">
        <v>176</v>
      </c>
    </row>
    <row r="30" spans="1:3" ht="12.75">
      <c r="A30" s="156" t="s">
        <v>177</v>
      </c>
      <c r="B30" s="156" t="s">
        <v>381</v>
      </c>
      <c r="C30" s="111"/>
    </row>
    <row r="31" spans="1:2" ht="12.75">
      <c r="A31" s="156" t="s">
        <v>304</v>
      </c>
      <c r="B31" s="156" t="s">
        <v>65</v>
      </c>
    </row>
    <row r="32" spans="1:2" ht="12.75">
      <c r="A32" s="156" t="s">
        <v>464</v>
      </c>
      <c r="B32" s="156" t="s">
        <v>382</v>
      </c>
    </row>
    <row r="33" spans="1:2" ht="12.75">
      <c r="A33" s="156" t="s">
        <v>465</v>
      </c>
      <c r="B33" s="156" t="s">
        <v>383</v>
      </c>
    </row>
    <row r="34" spans="1:2" ht="12.75">
      <c r="A34" s="156" t="s">
        <v>466</v>
      </c>
      <c r="B34" s="156" t="s">
        <v>384</v>
      </c>
    </row>
    <row r="35" spans="1:2" ht="12.75">
      <c r="A35" s="156" t="s">
        <v>454</v>
      </c>
      <c r="B35" s="156" t="s">
        <v>455</v>
      </c>
    </row>
    <row r="36" spans="1:2" ht="12.75">
      <c r="A36" s="156" t="s">
        <v>467</v>
      </c>
      <c r="B36" s="156" t="s">
        <v>385</v>
      </c>
    </row>
    <row r="37" spans="1:2" ht="12.75">
      <c r="A37" s="156" t="s">
        <v>468</v>
      </c>
      <c r="B37" s="156" t="s">
        <v>386</v>
      </c>
    </row>
    <row r="38" spans="1:2" ht="12.75">
      <c r="A38" s="156" t="s">
        <v>469</v>
      </c>
      <c r="B38" s="156" t="s">
        <v>387</v>
      </c>
    </row>
    <row r="39" spans="1:2" ht="12.75">
      <c r="A39" s="156" t="s">
        <v>470</v>
      </c>
      <c r="B39" s="156" t="s">
        <v>388</v>
      </c>
    </row>
    <row r="40" spans="1:2" ht="12.75">
      <c r="A40" s="156" t="s">
        <v>471</v>
      </c>
      <c r="B40" s="156" t="s">
        <v>389</v>
      </c>
    </row>
    <row r="41" spans="1:2" ht="12.75">
      <c r="A41" s="156" t="s">
        <v>472</v>
      </c>
      <c r="B41" s="156" t="s">
        <v>390</v>
      </c>
    </row>
    <row r="42" spans="1:2" ht="12.75">
      <c r="A42" s="156" t="s">
        <v>501</v>
      </c>
      <c r="B42" s="156" t="s">
        <v>391</v>
      </c>
    </row>
    <row r="43" spans="1:2" ht="12.75">
      <c r="A43" s="156" t="s">
        <v>502</v>
      </c>
      <c r="B43" s="156" t="s">
        <v>392</v>
      </c>
    </row>
    <row r="44" spans="1:2" ht="12.75">
      <c r="A44" s="156" t="s">
        <v>503</v>
      </c>
      <c r="B44" s="156" t="s">
        <v>393</v>
      </c>
    </row>
    <row r="45" spans="1:2" ht="12.75">
      <c r="A45" s="156" t="s">
        <v>512</v>
      </c>
      <c r="B45" s="156" t="s">
        <v>62</v>
      </c>
    </row>
    <row r="46" spans="1:2" ht="12.75">
      <c r="A46" s="156" t="s">
        <v>504</v>
      </c>
      <c r="B46" s="156" t="s">
        <v>394</v>
      </c>
    </row>
    <row r="47" spans="1:2" ht="12.75">
      <c r="A47" s="156" t="s">
        <v>505</v>
      </c>
      <c r="B47" s="156" t="s">
        <v>395</v>
      </c>
    </row>
    <row r="48" spans="1:2" ht="12.75">
      <c r="A48" s="156" t="s">
        <v>506</v>
      </c>
      <c r="B48" s="156" t="s">
        <v>396</v>
      </c>
    </row>
    <row r="49" spans="1:2" ht="12.75">
      <c r="A49" s="156" t="s">
        <v>61</v>
      </c>
      <c r="B49" s="156" t="s">
        <v>63</v>
      </c>
    </row>
    <row r="50" spans="1:2" ht="12.75">
      <c r="A50" s="156" t="s">
        <v>507</v>
      </c>
      <c r="B50" s="156" t="s">
        <v>397</v>
      </c>
    </row>
    <row r="51" spans="1:2" ht="12.75">
      <c r="A51" s="156" t="s">
        <v>508</v>
      </c>
      <c r="B51" s="156" t="s">
        <v>398</v>
      </c>
    </row>
    <row r="52" spans="1:2" ht="12.75">
      <c r="A52" s="156" t="s">
        <v>509</v>
      </c>
      <c r="B52" s="156" t="s">
        <v>399</v>
      </c>
    </row>
    <row r="53" spans="1:2" ht="12.75">
      <c r="A53" s="156" t="s">
        <v>510</v>
      </c>
      <c r="B53" s="156" t="s">
        <v>400</v>
      </c>
    </row>
    <row r="54" spans="1:2" ht="12.75">
      <c r="A54" s="156" t="s">
        <v>60</v>
      </c>
      <c r="B54" s="156" t="s">
        <v>64</v>
      </c>
    </row>
    <row r="55" spans="1:2" ht="12.75">
      <c r="A55" s="156" t="s">
        <v>511</v>
      </c>
      <c r="B55" s="156" t="s">
        <v>401</v>
      </c>
    </row>
    <row r="56" spans="1:2" ht="12.75">
      <c r="A56" s="156" t="s">
        <v>320</v>
      </c>
      <c r="B56" s="156" t="s">
        <v>402</v>
      </c>
    </row>
    <row r="57" spans="1:2" ht="12.75">
      <c r="A57" s="156" t="s">
        <v>321</v>
      </c>
      <c r="B57" s="156" t="s">
        <v>403</v>
      </c>
    </row>
    <row r="58" spans="1:2" ht="12.75">
      <c r="A58" s="156" t="s">
        <v>322</v>
      </c>
      <c r="B58" s="156" t="s">
        <v>404</v>
      </c>
    </row>
    <row r="59" spans="1:2" ht="12.75">
      <c r="A59" s="156" t="s">
        <v>323</v>
      </c>
      <c r="B59" s="156" t="s">
        <v>405</v>
      </c>
    </row>
    <row r="60" spans="1:2" ht="12.75">
      <c r="A60" s="156" t="s">
        <v>306</v>
      </c>
      <c r="B60" s="156" t="s">
        <v>406</v>
      </c>
    </row>
    <row r="61" spans="1:2" ht="12.75">
      <c r="A61" s="156" t="s">
        <v>307</v>
      </c>
      <c r="B61" s="156" t="s">
        <v>295</v>
      </c>
    </row>
    <row r="62" spans="1:2" ht="12.75" customHeight="1">
      <c r="A62" s="156" t="s">
        <v>308</v>
      </c>
      <c r="B62" s="156" t="s">
        <v>296</v>
      </c>
    </row>
    <row r="64" ht="12.75">
      <c r="A64" s="91" t="s">
        <v>435</v>
      </c>
    </row>
    <row r="65" spans="1:2" ht="12.75">
      <c r="A65" s="157" t="s">
        <v>178</v>
      </c>
      <c r="B65" s="157" t="s">
        <v>179</v>
      </c>
    </row>
    <row r="66" spans="1:2" ht="12.75">
      <c r="A66" s="157" t="s">
        <v>180</v>
      </c>
      <c r="B66" s="157" t="s">
        <v>181</v>
      </c>
    </row>
    <row r="67" spans="1:2" ht="12.75">
      <c r="A67" s="365" t="s">
        <v>456</v>
      </c>
      <c r="B67" s="365" t="s">
        <v>457</v>
      </c>
    </row>
    <row r="68" spans="1:2" ht="12.75">
      <c r="A68" s="157" t="s">
        <v>182</v>
      </c>
      <c r="B68" s="157" t="s">
        <v>183</v>
      </c>
    </row>
    <row r="69" spans="1:2" ht="12.75">
      <c r="A69" s="157" t="s">
        <v>184</v>
      </c>
      <c r="B69" s="157" t="s">
        <v>185</v>
      </c>
    </row>
    <row r="70" spans="1:2" ht="12.75">
      <c r="A70" s="157" t="s">
        <v>186</v>
      </c>
      <c r="B70" s="157" t="s">
        <v>187</v>
      </c>
    </row>
    <row r="71" spans="1:2" ht="12.75">
      <c r="A71" s="157" t="s">
        <v>188</v>
      </c>
      <c r="B71" s="157" t="s">
        <v>189</v>
      </c>
    </row>
    <row r="72" spans="1:2" ht="12.75">
      <c r="A72" s="157" t="s">
        <v>190</v>
      </c>
      <c r="B72" s="157" t="s">
        <v>191</v>
      </c>
    </row>
    <row r="73" spans="1:2" ht="12.75">
      <c r="A73" s="157" t="s">
        <v>192</v>
      </c>
      <c r="B73" s="157" t="s">
        <v>193</v>
      </c>
    </row>
    <row r="74" spans="1:2" ht="12.75">
      <c r="A74" s="157" t="s">
        <v>194</v>
      </c>
      <c r="B74" s="157" t="s">
        <v>195</v>
      </c>
    </row>
    <row r="75" spans="1:2" ht="12.75">
      <c r="A75" s="157" t="s">
        <v>196</v>
      </c>
      <c r="B75" s="157" t="s">
        <v>197</v>
      </c>
    </row>
    <row r="76" spans="1:2" ht="12.75">
      <c r="A76" s="157" t="s">
        <v>198</v>
      </c>
      <c r="B76" s="157" t="s">
        <v>357</v>
      </c>
    </row>
    <row r="77" spans="1:2" ht="12.75">
      <c r="A77" s="157" t="s">
        <v>358</v>
      </c>
      <c r="B77" s="157" t="s">
        <v>359</v>
      </c>
    </row>
    <row r="78" spans="1:2" ht="12.75">
      <c r="A78" s="157" t="s">
        <v>360</v>
      </c>
      <c r="B78" s="157" t="s">
        <v>361</v>
      </c>
    </row>
    <row r="79" spans="1:2" ht="12.75">
      <c r="A79" s="157" t="s">
        <v>362</v>
      </c>
      <c r="B79" s="157" t="s">
        <v>363</v>
      </c>
    </row>
    <row r="80" spans="1:2" ht="12.75">
      <c r="A80" s="157" t="s">
        <v>364</v>
      </c>
      <c r="B80" s="157" t="s">
        <v>365</v>
      </c>
    </row>
    <row r="81" spans="1:2" ht="12.75">
      <c r="A81" s="157" t="s">
        <v>366</v>
      </c>
      <c r="B81" s="157" t="s">
        <v>367</v>
      </c>
    </row>
    <row r="82" spans="1:2" ht="12.75">
      <c r="A82" s="157" t="s">
        <v>368</v>
      </c>
      <c r="B82" s="157" t="s">
        <v>369</v>
      </c>
    </row>
    <row r="83" spans="1:2" ht="12.75">
      <c r="A83" s="157" t="s">
        <v>370</v>
      </c>
      <c r="B83" s="157" t="s">
        <v>371</v>
      </c>
    </row>
    <row r="84" spans="1:2" ht="12.75">
      <c r="A84" s="157" t="s">
        <v>372</v>
      </c>
      <c r="B84" s="157" t="s">
        <v>373</v>
      </c>
    </row>
    <row r="85" spans="1:2" ht="12.75">
      <c r="A85" s="157" t="s">
        <v>374</v>
      </c>
      <c r="B85" s="157" t="s">
        <v>375</v>
      </c>
    </row>
    <row r="86" spans="1:2" ht="12.75">
      <c r="A86" s="157" t="s">
        <v>376</v>
      </c>
      <c r="B86" s="157" t="s">
        <v>377</v>
      </c>
    </row>
    <row r="87" spans="1:2" ht="12.75">
      <c r="A87" s="157" t="s">
        <v>378</v>
      </c>
      <c r="B87" s="157" t="s">
        <v>379</v>
      </c>
    </row>
    <row r="88" spans="1:2" ht="12.75">
      <c r="A88" s="157" t="s">
        <v>340</v>
      </c>
      <c r="B88" s="157" t="s">
        <v>341</v>
      </c>
    </row>
    <row r="89" spans="1:2" ht="12.75">
      <c r="A89" s="157" t="s">
        <v>342</v>
      </c>
      <c r="B89" s="157" t="s">
        <v>343</v>
      </c>
    </row>
  </sheetData>
  <sheetProtection sheet="1" objects="1" scenarios="1" formatCells="0" formatColumns="0" formatRows="0"/>
  <dataValidations count="4">
    <dataValidation type="list" allowBlank="1" showInputMessage="1" showErrorMessage="1" sqref="B5">
      <formula1>$A$65:$A$89</formula1>
    </dataValidation>
    <dataValidation type="list" allowBlank="1" showInputMessage="1" showErrorMessage="1" sqref="B2">
      <formula1>$A$8:$A$12</formula1>
    </dataValidation>
    <dataValidation type="list" allowBlank="1" showInputMessage="1" showErrorMessage="1" sqref="B3">
      <formula1>$A$15:$A$27</formula1>
    </dataValidation>
    <dataValidation type="list" allowBlank="1" showInputMessage="1" showErrorMessage="1" sqref="B4">
      <formula1>$A$30:$A$62</formula1>
    </dataValidation>
  </dataValidations>
  <printOptions/>
  <pageMargins left="0.787401575" right="0.787401575" top="0.984251969" bottom="0.984251969" header="0.5" footer="0.5"/>
  <pageSetup fitToHeight="1" fitToWidth="1" horizontalDpi="600" verticalDpi="600" orientation="portrait" paperSize="9" scale="71" r:id="rId3"/>
  <headerFooter alignWithMargins="0">
    <oddHeader>&amp;L&amp;F; &amp;A&amp;R&amp;D ;&amp;T</oddHeader>
    <oddFooter>&amp;C&amp;P /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X105"/>
  <sheetViews>
    <sheetView tabSelected="1" zoomScalePageLayoutView="0" workbookViewId="0" topLeftCell="A1">
      <pane ySplit="4" topLeftCell="A5" activePane="bottomLeft" state="frozen"/>
      <selection pane="topLeft" activeCell="F43" sqref="F43"/>
      <selection pane="bottomLeft" activeCell="C86" sqref="C86:L86"/>
    </sheetView>
  </sheetViews>
  <sheetFormatPr defaultColWidth="9.140625" defaultRowHeight="12.75"/>
  <cols>
    <col min="1" max="1" width="2.421875" style="520" hidden="1" customWidth="1"/>
    <col min="2" max="2" width="4.7109375" style="584" customWidth="1"/>
    <col min="3" max="3" width="12.7109375" style="584" customWidth="1"/>
    <col min="4" max="4" width="15.7109375" style="584" customWidth="1"/>
    <col min="5" max="11" width="12.7109375" style="584" customWidth="1"/>
    <col min="12" max="12" width="12.7109375" style="520" customWidth="1"/>
    <col min="13" max="13" width="4.7109375" style="520" customWidth="1"/>
    <col min="14" max="14" width="9.140625" style="520" customWidth="1"/>
    <col min="15" max="24" width="9.140625" style="503" hidden="1" customWidth="1"/>
    <col min="25" max="16384" width="9.140625" style="520" customWidth="1"/>
  </cols>
  <sheetData>
    <row r="1" spans="1:24" s="4" customFormat="1" ht="13.5" hidden="1" thickBot="1">
      <c r="A1" s="440" t="s">
        <v>486</v>
      </c>
      <c r="O1" s="440" t="s">
        <v>486</v>
      </c>
      <c r="P1" s="423" t="s">
        <v>486</v>
      </c>
      <c r="Q1" s="423" t="s">
        <v>486</v>
      </c>
      <c r="R1" s="423" t="s">
        <v>486</v>
      </c>
      <c r="S1" s="423" t="s">
        <v>486</v>
      </c>
      <c r="T1" s="423" t="s">
        <v>486</v>
      </c>
      <c r="U1" s="423" t="s">
        <v>486</v>
      </c>
      <c r="V1" s="423" t="s">
        <v>486</v>
      </c>
      <c r="W1" s="423" t="s">
        <v>486</v>
      </c>
      <c r="X1" s="423" t="s">
        <v>486</v>
      </c>
    </row>
    <row r="2" spans="2:24" ht="13.5" customHeight="1" thickBot="1">
      <c r="B2" s="699" t="s">
        <v>270</v>
      </c>
      <c r="C2" s="201" t="str">
        <f>Translations!$B$276</f>
        <v>Zone de navigation:</v>
      </c>
      <c r="D2" s="199"/>
      <c r="E2" s="715" t="str">
        <f>Translations!$B$290</f>
        <v>Table des matières</v>
      </c>
      <c r="F2" s="702"/>
      <c r="G2" s="702"/>
      <c r="H2" s="702"/>
      <c r="I2" s="702" t="str">
        <f>HYPERLINK(U2,Translations!$B$277)</f>
        <v>Feuille suivante</v>
      </c>
      <c r="J2" s="702"/>
      <c r="K2" s="702" t="str">
        <f>HYPERLINK(W2,Translations!$B$278)</f>
        <v>Résumé</v>
      </c>
      <c r="L2" s="709"/>
      <c r="M2" s="9"/>
      <c r="N2" s="519"/>
      <c r="O2" s="441" t="s">
        <v>555</v>
      </c>
      <c r="P2" s="441"/>
      <c r="Q2" s="704"/>
      <c r="R2" s="705"/>
      <c r="S2" s="706"/>
      <c r="T2" s="705"/>
      <c r="U2" s="706" t="str">
        <f>"#"&amp;ADDRESS(ROW(D6),COLUMN(D6),,,A_InstallationData!Q3)</f>
        <v>#A_InstallationData!$D$6</v>
      </c>
      <c r="V2" s="705"/>
      <c r="W2" s="706" t="str">
        <f>"#"&amp;ADDRESS(ROW(D6),COLUMN(D6),,,D_Summary!Q3)</f>
        <v>#D_Summary!$D$6</v>
      </c>
      <c r="X2" s="707"/>
    </row>
    <row r="3" spans="2:24" ht="13.5" thickBot="1">
      <c r="B3" s="700"/>
      <c r="C3" s="702" t="str">
        <f>HYPERLINK(P3,Translations!$B$279)</f>
        <v>Début de feuille</v>
      </c>
      <c r="D3" s="750"/>
      <c r="E3" s="716"/>
      <c r="F3" s="717"/>
      <c r="G3" s="752"/>
      <c r="H3" s="717"/>
      <c r="I3" s="752"/>
      <c r="J3" s="717"/>
      <c r="K3" s="752"/>
      <c r="L3" s="717"/>
      <c r="M3" s="9"/>
      <c r="N3" s="519"/>
      <c r="O3" s="499" t="str">
        <f ca="1">IF(ISERROR(CELL("filename",O2)),"b_Guidelines &amp; conditions",MID(CELL("filename",O2),FIND("]",CELL("filename",O2))+1,1024))</f>
        <v>b_Guidelines &amp; conditions</v>
      </c>
      <c r="P3" s="500" t="str">
        <f>"#"&amp;ADDRESS(ROW(B10),COLUMN(B10))</f>
        <v>#$B$10</v>
      </c>
      <c r="Q3" s="775"/>
      <c r="R3" s="776"/>
      <c r="S3" s="777"/>
      <c r="T3" s="776"/>
      <c r="U3" s="777"/>
      <c r="V3" s="776"/>
      <c r="W3" s="777"/>
      <c r="X3" s="778"/>
    </row>
    <row r="4" spans="2:24" ht="13.5" thickBot="1">
      <c r="B4" s="701"/>
      <c r="C4" s="702" t="str">
        <f>HYPERLINK(P4,Translations!$B$280)</f>
        <v>Fin de feuille</v>
      </c>
      <c r="D4" s="702"/>
      <c r="E4" s="758"/>
      <c r="F4" s="759"/>
      <c r="G4" s="760"/>
      <c r="H4" s="759"/>
      <c r="I4" s="760"/>
      <c r="J4" s="759"/>
      <c r="K4" s="760"/>
      <c r="L4" s="759"/>
      <c r="M4" s="9"/>
      <c r="N4" s="519"/>
      <c r="O4" s="441"/>
      <c r="P4" s="501" t="str">
        <f>"#"&amp;ADDRESS(ROW(JUMP_Guidelines_Bottom),COLUMN(JUMP_Guidelines_Bottom))</f>
        <v>#$C$104</v>
      </c>
      <c r="Q4" s="781"/>
      <c r="R4" s="782"/>
      <c r="S4" s="783"/>
      <c r="T4" s="782"/>
      <c r="U4" s="783"/>
      <c r="V4" s="782"/>
      <c r="W4" s="783"/>
      <c r="X4" s="784"/>
    </row>
    <row r="5" spans="2:16" ht="12.75">
      <c r="B5" s="83"/>
      <c r="C5" s="83"/>
      <c r="D5" s="83"/>
      <c r="E5" s="83"/>
      <c r="F5" s="83"/>
      <c r="G5" s="83"/>
      <c r="H5" s="83"/>
      <c r="I5" s="83"/>
      <c r="J5" s="83"/>
      <c r="K5" s="83"/>
      <c r="L5" s="86"/>
      <c r="M5" s="86"/>
      <c r="P5" s="506" t="str">
        <f>HYPERLINK(P4,"T")</f>
        <v>T</v>
      </c>
    </row>
    <row r="6" spans="2:13" ht="18">
      <c r="B6" s="14"/>
      <c r="C6" s="718" t="str">
        <f>Translations!$B$292</f>
        <v>LIGNES DIRECTRICES ET CONDITIONS</v>
      </c>
      <c r="D6" s="718"/>
      <c r="E6" s="718"/>
      <c r="F6" s="718"/>
      <c r="G6" s="718"/>
      <c r="H6" s="718"/>
      <c r="I6" s="718"/>
      <c r="J6" s="718"/>
      <c r="K6" s="718"/>
      <c r="L6" s="83"/>
      <c r="M6" s="86"/>
    </row>
    <row r="7" spans="2:13" ht="12.75">
      <c r="B7" s="14"/>
      <c r="C7" s="719"/>
      <c r="D7" s="719"/>
      <c r="E7" s="719"/>
      <c r="F7" s="719"/>
      <c r="G7" s="719"/>
      <c r="H7" s="719"/>
      <c r="I7" s="719"/>
      <c r="J7" s="719"/>
      <c r="K7" s="719"/>
      <c r="L7" s="719"/>
      <c r="M7" s="86"/>
    </row>
    <row r="8" spans="2:24" s="521" customFormat="1" ht="15.75">
      <c r="B8" s="12"/>
      <c r="C8" s="720" t="str">
        <f>Translations!$B$293</f>
        <v>Informations générales sur ce modèle</v>
      </c>
      <c r="D8" s="720"/>
      <c r="E8" s="720"/>
      <c r="F8" s="720"/>
      <c r="G8" s="720"/>
      <c r="H8" s="720"/>
      <c r="I8" s="720"/>
      <c r="J8" s="720"/>
      <c r="K8" s="720"/>
      <c r="L8" s="720"/>
      <c r="M8" s="7"/>
      <c r="O8" s="517"/>
      <c r="P8" s="517"/>
      <c r="Q8" s="517"/>
      <c r="R8" s="517"/>
      <c r="S8" s="517"/>
      <c r="T8" s="517"/>
      <c r="U8" s="517"/>
      <c r="V8" s="517"/>
      <c r="W8" s="517"/>
      <c r="X8" s="517"/>
    </row>
    <row r="9" spans="2:24" s="521" customFormat="1" ht="12.75">
      <c r="B9" s="88"/>
      <c r="C9" s="88"/>
      <c r="D9" s="88"/>
      <c r="E9" s="88"/>
      <c r="F9" s="88"/>
      <c r="G9" s="88"/>
      <c r="H9" s="88"/>
      <c r="I9" s="88"/>
      <c r="J9" s="88"/>
      <c r="K9" s="19"/>
      <c r="L9" s="19"/>
      <c r="M9" s="7"/>
      <c r="O9" s="517"/>
      <c r="P9" s="517"/>
      <c r="Q9" s="517"/>
      <c r="R9" s="517"/>
      <c r="S9" s="517"/>
      <c r="T9" s="517"/>
      <c r="U9" s="517"/>
      <c r="V9" s="517"/>
      <c r="W9" s="517"/>
      <c r="X9" s="517"/>
    </row>
    <row r="10" spans="2:24" s="521" customFormat="1" ht="38.25" customHeight="1">
      <c r="B10" s="183">
        <v>1</v>
      </c>
      <c r="C10" s="712" t="str">
        <f>Translations!$B$1015</f>
        <v>La directive 2003/87/CE, modifiée en dernier lieu par la directive 2009/29/CE (ci-après la «directive SEQE-UE»), dispose que l'allocation par les États membres de quotas d'émission à titre gratuit aux installations doit s'effectuer sur la base de règles pleinement harmonisées à l’échelle communautaire (article 10 bis, paragraphe 1). Cette directive peut être téléchargée à partir de l'adresse suivante:</v>
      </c>
      <c r="D10" s="721"/>
      <c r="E10" s="721"/>
      <c r="F10" s="721"/>
      <c r="G10" s="721"/>
      <c r="H10" s="721"/>
      <c r="I10" s="721"/>
      <c r="J10" s="721"/>
      <c r="K10" s="721"/>
      <c r="L10" s="721"/>
      <c r="M10" s="7"/>
      <c r="O10" s="517"/>
      <c r="P10" s="517"/>
      <c r="Q10" s="517"/>
      <c r="R10" s="517"/>
      <c r="S10" s="517"/>
      <c r="T10" s="517"/>
      <c r="U10" s="517"/>
      <c r="V10" s="517"/>
      <c r="W10" s="517"/>
      <c r="X10" s="517"/>
    </row>
    <row r="11" spans="2:24" s="521" customFormat="1" ht="12.75">
      <c r="B11" s="88"/>
      <c r="C11" s="723" t="str">
        <f>Translations!$B$294</f>
        <v>http://eur-lex.europa.eu/LexUriServ/LexUriServ.do?uri=CONSLEG:2003L0087:20090625:FR:PDF </v>
      </c>
      <c r="D11" s="724"/>
      <c r="E11" s="724"/>
      <c r="F11" s="724"/>
      <c r="G11" s="724"/>
      <c r="H11" s="724"/>
      <c r="I11" s="724"/>
      <c r="J11" s="724"/>
      <c r="K11" s="724"/>
      <c r="L11" s="724"/>
      <c r="M11" s="7"/>
      <c r="O11" s="517"/>
      <c r="P11" s="517"/>
      <c r="Q11" s="517"/>
      <c r="R11" s="517"/>
      <c r="S11" s="517"/>
      <c r="T11" s="517"/>
      <c r="U11" s="517"/>
      <c r="V11" s="517"/>
      <c r="W11" s="517"/>
      <c r="X11" s="517"/>
    </row>
    <row r="12" spans="2:24" s="521" customFormat="1" ht="25.5" customHeight="1">
      <c r="B12" s="183">
        <f>B10+1</f>
        <v>2</v>
      </c>
      <c r="C12" s="712" t="str">
        <f>Translations!$B$1016</f>
        <v>Ces mesures d'exécution à l'échelle communautaire (ci-après «les CIM»), publiées sous la forme de la décision 2011/278/UE de la Commission, peuvent être téléchargées à partir de l'adresse suivante:   </v>
      </c>
      <c r="D12" s="721"/>
      <c r="E12" s="721"/>
      <c r="F12" s="721"/>
      <c r="G12" s="721"/>
      <c r="H12" s="721"/>
      <c r="I12" s="721"/>
      <c r="J12" s="721"/>
      <c r="K12" s="721"/>
      <c r="L12" s="721"/>
      <c r="M12" s="7"/>
      <c r="O12" s="517"/>
      <c r="P12" s="517"/>
      <c r="Q12" s="517"/>
      <c r="R12" s="517"/>
      <c r="S12" s="517"/>
      <c r="T12" s="517"/>
      <c r="U12" s="517"/>
      <c r="V12" s="517"/>
      <c r="W12" s="517"/>
      <c r="X12" s="517"/>
    </row>
    <row r="13" spans="2:24" s="521" customFormat="1" ht="12.75">
      <c r="B13" s="88"/>
      <c r="C13" s="723" t="str">
        <f>Translations!$B$1017</f>
        <v>http://eur-lex.europa.eu/LexUriServ/LexUriServ.do?uri=CONSLEG:2011D0278:20111117:FR:PDF </v>
      </c>
      <c r="D13" s="724"/>
      <c r="E13" s="724"/>
      <c r="F13" s="724"/>
      <c r="G13" s="724"/>
      <c r="H13" s="724"/>
      <c r="I13" s="724"/>
      <c r="J13" s="724"/>
      <c r="K13" s="724"/>
      <c r="L13" s="724"/>
      <c r="M13" s="7"/>
      <c r="O13" s="517"/>
      <c r="P13" s="517"/>
      <c r="Q13" s="517"/>
      <c r="R13" s="517"/>
      <c r="S13" s="517"/>
      <c r="T13" s="517"/>
      <c r="U13" s="517"/>
      <c r="V13" s="517"/>
      <c r="W13" s="517"/>
      <c r="X13" s="517"/>
    </row>
    <row r="14" spans="2:24" s="521" customFormat="1" ht="38.25" customHeight="1">
      <c r="B14" s="183">
        <f>B12+1</f>
        <v>3</v>
      </c>
      <c r="C14" s="725" t="str">
        <f>Translations!$B$1506</f>
        <v>Les CIM ne contiennent pas de dispositions explicites en ce qui concerne les fusions et les scissions d’installations. C’est pourquoi, en règle générale, toute modification de l’allocation de quotas à titre gratuit à la suite d’une fusion ou d'une scission des installations devrait être mise en œuvre dans le respect règles relatives aux nouveaux entrants et aux fermetures (NEC) prévues par les CIM.</v>
      </c>
      <c r="D14" s="726"/>
      <c r="E14" s="726"/>
      <c r="F14" s="726"/>
      <c r="G14" s="726"/>
      <c r="H14" s="726"/>
      <c r="I14" s="726"/>
      <c r="J14" s="726"/>
      <c r="K14" s="726"/>
      <c r="L14" s="726"/>
      <c r="M14" s="7"/>
      <c r="O14" s="517"/>
      <c r="P14" s="517"/>
      <c r="Q14" s="517"/>
      <c r="R14" s="517"/>
      <c r="S14" s="517"/>
      <c r="T14" s="517"/>
      <c r="U14" s="517"/>
      <c r="V14" s="517"/>
      <c r="W14" s="517"/>
      <c r="X14" s="517"/>
    </row>
    <row r="15" spans="2:24" s="521" customFormat="1" ht="12.75" customHeight="1">
      <c r="B15" s="183"/>
      <c r="C15" s="712" t="str">
        <f>Translations!$B$1507</f>
        <v>Dans le cadre des règles d’allocation harmonisées et lorsque les conditions d’une modification significative de capacité sont remplies:</v>
      </c>
      <c r="D15" s="712"/>
      <c r="E15" s="712"/>
      <c r="F15" s="712"/>
      <c r="G15" s="712"/>
      <c r="H15" s="712"/>
      <c r="I15" s="712"/>
      <c r="J15" s="712"/>
      <c r="K15" s="712"/>
      <c r="L15" s="712"/>
      <c r="M15" s="7"/>
      <c r="O15" s="517"/>
      <c r="P15" s="517"/>
      <c r="Q15" s="517"/>
      <c r="R15" s="517"/>
      <c r="S15" s="517"/>
      <c r="T15" s="517"/>
      <c r="U15" s="517"/>
      <c r="V15" s="517"/>
      <c r="W15" s="517"/>
      <c r="X15" s="517"/>
    </row>
    <row r="16" spans="2:24" s="521" customFormat="1" ht="25.5" customHeight="1">
      <c r="B16" s="183"/>
      <c r="C16" s="511" t="s">
        <v>289</v>
      </c>
      <c r="D16" s="712" t="str">
        <f>Translations!$B$1508</f>
        <v>La fusion de deux installations se traduit par le fait qu'une installation cesse ses activités et qu'une autre augmente sa capacité de production.</v>
      </c>
      <c r="E16" s="712"/>
      <c r="F16" s="712"/>
      <c r="G16" s="712"/>
      <c r="H16" s="712"/>
      <c r="I16" s="712"/>
      <c r="J16" s="712"/>
      <c r="K16" s="712"/>
      <c r="L16" s="712"/>
      <c r="M16" s="7"/>
      <c r="O16" s="517"/>
      <c r="P16" s="517"/>
      <c r="Q16" s="517"/>
      <c r="R16" s="517"/>
      <c r="S16" s="517"/>
      <c r="T16" s="517"/>
      <c r="U16" s="517"/>
      <c r="V16" s="517"/>
      <c r="W16" s="517"/>
      <c r="X16" s="517"/>
    </row>
    <row r="17" spans="2:24" s="521" customFormat="1" ht="25.5" customHeight="1">
      <c r="B17" s="183"/>
      <c r="C17" s="511" t="s">
        <v>289</v>
      </c>
      <c r="D17" s="712" t="str">
        <f>Translations!$B$1509</f>
        <v>La scission d’une installation en deux (ou plusieurs installations) devrait se traduire par une réduction significative de la capacité de l’installation initiale et par un ou plusieurs nouveaux entrants («greenfield»).</v>
      </c>
      <c r="E17" s="712"/>
      <c r="F17" s="712"/>
      <c r="G17" s="712"/>
      <c r="H17" s="712"/>
      <c r="I17" s="712"/>
      <c r="J17" s="712"/>
      <c r="K17" s="712"/>
      <c r="L17" s="712"/>
      <c r="M17" s="7"/>
      <c r="O17" s="517"/>
      <c r="P17" s="517"/>
      <c r="Q17" s="517"/>
      <c r="R17" s="517"/>
      <c r="S17" s="517"/>
      <c r="T17" s="517"/>
      <c r="U17" s="517"/>
      <c r="V17" s="517"/>
      <c r="W17" s="517"/>
      <c r="X17" s="517"/>
    </row>
    <row r="18" spans="2:24" s="521" customFormat="1" ht="25.5" customHeight="1">
      <c r="B18" s="183">
        <v>4</v>
      </c>
      <c r="C18" s="725" t="str">
        <f>Translations!$B$1510</f>
        <v>Les exploitants doivent faire part de ces modifications selon la procédure normale de notification des nouveaux entrants (NEC) et des fermetures et selon les règles établies dans les CIM.</v>
      </c>
      <c r="D18" s="725"/>
      <c r="E18" s="725"/>
      <c r="F18" s="725"/>
      <c r="G18" s="725"/>
      <c r="H18" s="725"/>
      <c r="I18" s="725"/>
      <c r="J18" s="725"/>
      <c r="K18" s="725"/>
      <c r="L18" s="725"/>
      <c r="M18" s="7"/>
      <c r="O18" s="517"/>
      <c r="P18" s="517"/>
      <c r="Q18" s="517"/>
      <c r="R18" s="517"/>
      <c r="S18" s="517"/>
      <c r="T18" s="517"/>
      <c r="U18" s="517"/>
      <c r="V18" s="517"/>
      <c r="W18" s="517"/>
      <c r="X18" s="517"/>
    </row>
    <row r="19" spans="2:24" s="521" customFormat="1" ht="51" customHeight="1">
      <c r="B19" s="183">
        <v>5</v>
      </c>
      <c r="C19" s="712" t="str">
        <f>Translations!$B$1511</f>
        <v>Au vu de ce qui précède, bien que les fusions et scissions soient des procédures administratives relativement fréquentes dans le secteur industriel, résultant de transferts de propriété, dans le contexte de l’allocation de quotas à titre gratuit dans le cadre du système d’échange de quotas d’émission de l’UE, elles doivent être traitées conformément aux règles d’allocation harmonisée, c’est-à-dire par le jeu des nouveaux entrants («greenfields»), des modifications significatives de capacité et des fermetures.</v>
      </c>
      <c r="D19" s="721"/>
      <c r="E19" s="721"/>
      <c r="F19" s="721"/>
      <c r="G19" s="721"/>
      <c r="H19" s="721"/>
      <c r="I19" s="721"/>
      <c r="J19" s="721"/>
      <c r="K19" s="721"/>
      <c r="L19" s="721"/>
      <c r="M19" s="7"/>
      <c r="O19" s="517"/>
      <c r="P19" s="517"/>
      <c r="Q19" s="517"/>
      <c r="R19" s="517"/>
      <c r="S19" s="517"/>
      <c r="T19" s="517"/>
      <c r="U19" s="517"/>
      <c r="V19" s="517"/>
      <c r="W19" s="517"/>
      <c r="X19" s="517"/>
    </row>
    <row r="20" spans="2:24" s="521" customFormat="1" ht="25.5" customHeight="1">
      <c r="B20" s="183">
        <v>6</v>
      </c>
      <c r="C20" s="725" t="str">
        <f>Translations!$B$1512</f>
        <v>Néanmoins, certaines autres modifications de l'allocation à la suite d’une fusion ou d’une scission peuvent également être conformes aux règles harmonisées en matière d’allocation de quotas, pour autant que certaines conditions soient remplies:</v>
      </c>
      <c r="D20" s="726"/>
      <c r="E20" s="726"/>
      <c r="F20" s="726"/>
      <c r="G20" s="726"/>
      <c r="H20" s="726"/>
      <c r="I20" s="726"/>
      <c r="J20" s="726"/>
      <c r="K20" s="726"/>
      <c r="L20" s="726"/>
      <c r="M20" s="7"/>
      <c r="O20" s="517"/>
      <c r="P20" s="517"/>
      <c r="Q20" s="517"/>
      <c r="R20" s="517"/>
      <c r="S20" s="517"/>
      <c r="T20" s="517"/>
      <c r="U20" s="517"/>
      <c r="V20" s="517"/>
      <c r="W20" s="517"/>
      <c r="X20" s="517"/>
    </row>
    <row r="21" spans="2:24" s="521" customFormat="1" ht="25.5" customHeight="1">
      <c r="B21" s="183"/>
      <c r="C21" s="511" t="s">
        <v>289</v>
      </c>
      <c r="D21" s="712" t="str">
        <f>Translations!$B$1513</f>
        <v>Les installations doivent relever du champ d’application du système d’échange de quotas d’émission de gaz à effet de serre et détenir une autorisation GES avant et après la fusion ou la scission.</v>
      </c>
      <c r="E21" s="712"/>
      <c r="F21" s="712"/>
      <c r="G21" s="712"/>
      <c r="H21" s="712"/>
      <c r="I21" s="712"/>
      <c r="J21" s="712"/>
      <c r="K21" s="712"/>
      <c r="L21" s="712"/>
      <c r="M21" s="7"/>
      <c r="O21" s="517"/>
      <c r="P21" s="517"/>
      <c r="Q21" s="517"/>
      <c r="R21" s="517"/>
      <c r="S21" s="517"/>
      <c r="T21" s="517"/>
      <c r="U21" s="517"/>
      <c r="V21" s="517"/>
      <c r="W21" s="517"/>
      <c r="X21" s="517"/>
    </row>
    <row r="22" spans="2:24" s="521" customFormat="1" ht="25.5" customHeight="1">
      <c r="B22" s="183"/>
      <c r="C22" s="511" t="s">
        <v>289</v>
      </c>
      <c r="D22" s="712" t="str">
        <f>Translations!$B$1514</f>
        <v>Une fusion ou une scission n'entraîne pas l'allocation de plus de quotas que ce qui est indiqué dans le tableau national d’allocation (NAT) avant la fusion ou la scission.</v>
      </c>
      <c r="E22" s="712"/>
      <c r="F22" s="712"/>
      <c r="G22" s="712"/>
      <c r="H22" s="712"/>
      <c r="I22" s="712"/>
      <c r="J22" s="712"/>
      <c r="K22" s="712"/>
      <c r="L22" s="712"/>
      <c r="M22" s="7"/>
      <c r="O22" s="517"/>
      <c r="P22" s="517"/>
      <c r="Q22" s="517"/>
      <c r="R22" s="517"/>
      <c r="S22" s="517"/>
      <c r="T22" s="517"/>
      <c r="U22" s="517"/>
      <c r="V22" s="517"/>
      <c r="W22" s="517"/>
      <c r="X22" s="517"/>
    </row>
    <row r="23" spans="2:24" s="521" customFormat="1" ht="25.5" customHeight="1">
      <c r="B23" s="183"/>
      <c r="C23" s="511" t="s">
        <v>289</v>
      </c>
      <c r="D23" s="712" t="str">
        <f>Translations!$B$1515</f>
        <v>Dans le cas d’une fusion d'installations, conformément à l’article 3 sexies de la directive 2003/87/CE, la fusion concerne des installations qui sont techniquement liées, qui opèrent sur le même site et qui sont couvertes par la même autorisation après la fusion.</v>
      </c>
      <c r="E23" s="712"/>
      <c r="F23" s="712"/>
      <c r="G23" s="712"/>
      <c r="H23" s="712"/>
      <c r="I23" s="712"/>
      <c r="J23" s="712"/>
      <c r="K23" s="712"/>
      <c r="L23" s="712"/>
      <c r="M23" s="7"/>
      <c r="O23" s="517"/>
      <c r="P23" s="517"/>
      <c r="Q23" s="517"/>
      <c r="R23" s="517"/>
      <c r="S23" s="517"/>
      <c r="T23" s="517"/>
      <c r="U23" s="517"/>
      <c r="V23" s="517"/>
      <c r="W23" s="517"/>
      <c r="X23" s="517"/>
    </row>
    <row r="24" spans="2:24" s="521" customFormat="1" ht="25.5" customHeight="1">
      <c r="B24" s="183"/>
      <c r="C24" s="511" t="s">
        <v>289</v>
      </c>
      <c r="D24" s="712" t="str">
        <f>Translations!$B$1516</f>
        <v>La ou les installations concernées par la fusion ou la scission sont couvertes par une autorisation d’émettre des gaz à effet de serre qui tient compte de leur nouveau statut.</v>
      </c>
      <c r="E24" s="712"/>
      <c r="F24" s="712"/>
      <c r="G24" s="712"/>
      <c r="H24" s="712"/>
      <c r="I24" s="712"/>
      <c r="J24" s="712"/>
      <c r="K24" s="712"/>
      <c r="L24" s="712"/>
      <c r="M24" s="7"/>
      <c r="O24" s="517"/>
      <c r="P24" s="517"/>
      <c r="Q24" s="517"/>
      <c r="R24" s="517"/>
      <c r="S24" s="517"/>
      <c r="T24" s="517"/>
      <c r="U24" s="517"/>
      <c r="V24" s="517"/>
      <c r="W24" s="517"/>
      <c r="X24" s="517"/>
    </row>
    <row r="25" spans="2:24" s="521" customFormat="1" ht="12.75" customHeight="1">
      <c r="B25" s="183"/>
      <c r="C25" s="511"/>
      <c r="D25" s="239"/>
      <c r="E25" s="239"/>
      <c r="F25" s="239"/>
      <c r="G25" s="239"/>
      <c r="H25" s="239"/>
      <c r="I25" s="239"/>
      <c r="J25" s="239"/>
      <c r="K25" s="239"/>
      <c r="L25" s="239"/>
      <c r="M25" s="7"/>
      <c r="O25" s="517"/>
      <c r="P25" s="517"/>
      <c r="Q25" s="517"/>
      <c r="R25" s="517"/>
      <c r="S25" s="517"/>
      <c r="T25" s="517"/>
      <c r="U25" s="517"/>
      <c r="V25" s="517"/>
      <c r="W25" s="517"/>
      <c r="X25" s="517"/>
    </row>
    <row r="26" spans="2:24" s="521" customFormat="1" ht="38.25" customHeight="1">
      <c r="B26" s="183">
        <v>7</v>
      </c>
      <c r="C26" s="712" t="str">
        <f>Translations!$B$1021</f>
        <v>Le présent modèle a été établi pour la Commission par son consultant (Umweltbundesamt GmbH, Autriche).
Les opinions exprimées dans ce fichier sont celles des auteurs et ne reflètent pas nécessairement la position de la Commission européenne. </v>
      </c>
      <c r="D26" s="722"/>
      <c r="E26" s="722"/>
      <c r="F26" s="722"/>
      <c r="G26" s="722"/>
      <c r="H26" s="722"/>
      <c r="I26" s="722"/>
      <c r="J26" s="722"/>
      <c r="K26" s="722"/>
      <c r="L26" s="722"/>
      <c r="M26" s="7"/>
      <c r="O26" s="517"/>
      <c r="P26" s="517"/>
      <c r="Q26" s="517"/>
      <c r="R26" s="517"/>
      <c r="S26" s="517"/>
      <c r="T26" s="517"/>
      <c r="U26" s="517"/>
      <c r="V26" s="517"/>
      <c r="W26" s="517"/>
      <c r="X26" s="517"/>
    </row>
    <row r="27" spans="2:24" s="521" customFormat="1" ht="39.75" customHeight="1">
      <c r="B27" s="183">
        <f>B26+1</f>
        <v>8</v>
      </c>
      <c r="C27" s="740" t="str">
        <f>Translations!B1594</f>
        <v>Le présent document est la version finale de ce modèle et a été approuvé par le comité des changements climatiques lors de sa réunion du 12 novembre 2015.</v>
      </c>
      <c r="D27" s="741"/>
      <c r="E27" s="741"/>
      <c r="F27" s="741"/>
      <c r="G27" s="741"/>
      <c r="H27" s="741"/>
      <c r="I27" s="741"/>
      <c r="J27" s="741"/>
      <c r="K27" s="741"/>
      <c r="L27" s="741"/>
      <c r="M27" s="7"/>
      <c r="O27" s="517"/>
      <c r="P27" s="517"/>
      <c r="Q27" s="517"/>
      <c r="R27" s="517"/>
      <c r="S27" s="517"/>
      <c r="T27" s="517"/>
      <c r="U27" s="517"/>
      <c r="V27" s="517"/>
      <c r="W27" s="517"/>
      <c r="X27" s="517"/>
    </row>
    <row r="28" spans="2:24" s="521" customFormat="1" ht="12.75">
      <c r="B28" s="88"/>
      <c r="C28" s="88"/>
      <c r="D28" s="88"/>
      <c r="E28" s="88"/>
      <c r="F28" s="88"/>
      <c r="G28" s="88"/>
      <c r="H28" s="88"/>
      <c r="I28" s="88"/>
      <c r="J28" s="88"/>
      <c r="K28" s="19"/>
      <c r="L28" s="19"/>
      <c r="M28" s="7"/>
      <c r="O28" s="517"/>
      <c r="P28" s="517"/>
      <c r="Q28" s="517"/>
      <c r="R28" s="517"/>
      <c r="S28" s="517"/>
      <c r="T28" s="517"/>
      <c r="U28" s="517"/>
      <c r="V28" s="517"/>
      <c r="W28" s="517"/>
      <c r="X28" s="517"/>
    </row>
    <row r="29" spans="2:24" s="521" customFormat="1" ht="15.75">
      <c r="B29" s="12"/>
      <c r="C29" s="720" t="str">
        <f>Translations!$B$295</f>
        <v>Comment utiliser ce fichier:</v>
      </c>
      <c r="D29" s="720"/>
      <c r="E29" s="720"/>
      <c r="F29" s="720"/>
      <c r="G29" s="720"/>
      <c r="H29" s="720"/>
      <c r="I29" s="720"/>
      <c r="J29" s="720"/>
      <c r="K29" s="720"/>
      <c r="L29" s="720"/>
      <c r="M29" s="7"/>
      <c r="O29" s="517"/>
      <c r="P29" s="517"/>
      <c r="Q29" s="517"/>
      <c r="R29" s="517"/>
      <c r="S29" s="517"/>
      <c r="T29" s="517"/>
      <c r="U29" s="517"/>
      <c r="V29" s="517"/>
      <c r="W29" s="517"/>
      <c r="X29" s="517"/>
    </row>
    <row r="30" spans="2:24" s="521" customFormat="1" ht="12.75">
      <c r="B30" s="88"/>
      <c r="C30" s="88"/>
      <c r="D30" s="88"/>
      <c r="E30" s="88"/>
      <c r="F30" s="88"/>
      <c r="G30" s="88"/>
      <c r="H30" s="88"/>
      <c r="I30" s="88"/>
      <c r="J30" s="88"/>
      <c r="K30" s="19"/>
      <c r="L30" s="19"/>
      <c r="M30" s="7"/>
      <c r="O30" s="517"/>
      <c r="P30" s="517"/>
      <c r="Q30" s="517"/>
      <c r="R30" s="517"/>
      <c r="S30" s="517"/>
      <c r="T30" s="517"/>
      <c r="U30" s="517"/>
      <c r="V30" s="517"/>
      <c r="W30" s="517"/>
      <c r="X30" s="517"/>
    </row>
    <row r="31" spans="2:24" s="521" customFormat="1" ht="12.75">
      <c r="B31" s="183">
        <f>B27+1</f>
        <v>9</v>
      </c>
      <c r="C31" s="712" t="str">
        <f>Translations!$B$1009</f>
        <v>Dans le menu Outils/Options, sous l'onglet Calcul, cocher «automatique».</v>
      </c>
      <c r="D31" s="721"/>
      <c r="E31" s="721"/>
      <c r="F31" s="721"/>
      <c r="G31" s="721"/>
      <c r="H31" s="721"/>
      <c r="I31" s="721"/>
      <c r="J31" s="721"/>
      <c r="K31" s="721"/>
      <c r="L31" s="721"/>
      <c r="M31" s="7"/>
      <c r="O31" s="517"/>
      <c r="P31" s="517"/>
      <c r="Q31" s="517"/>
      <c r="R31" s="517"/>
      <c r="S31" s="517"/>
      <c r="T31" s="517"/>
      <c r="U31" s="517"/>
      <c r="V31" s="517"/>
      <c r="W31" s="517"/>
      <c r="X31" s="517"/>
    </row>
    <row r="32" spans="2:24" s="521" customFormat="1" ht="38.25" customHeight="1">
      <c r="B32" s="180"/>
      <c r="C32" s="712" t="str">
        <f>Translations!$B$1517</f>
        <v>Il est recommandé de progresser dans le fichier en commençant par le début. Vous serez guidé tout au long du formulaire par certaines fonctions qui dépendent de l'information saisie antérieurement, telles que le changement de couleur des cellules lorsqu'une entrée n'est pas nécessaire (voir codes de couleur ci-après).</v>
      </c>
      <c r="D32" s="721"/>
      <c r="E32" s="721"/>
      <c r="F32" s="721"/>
      <c r="G32" s="721"/>
      <c r="H32" s="721"/>
      <c r="I32" s="721"/>
      <c r="J32" s="721"/>
      <c r="K32" s="721"/>
      <c r="L32" s="721"/>
      <c r="M32" s="7"/>
      <c r="O32" s="517"/>
      <c r="P32" s="517"/>
      <c r="Q32" s="517"/>
      <c r="R32" s="517"/>
      <c r="S32" s="517"/>
      <c r="T32" s="517"/>
      <c r="U32" s="517"/>
      <c r="V32" s="517"/>
      <c r="W32" s="517"/>
      <c r="X32" s="517"/>
    </row>
    <row r="33" spans="2:24" s="521" customFormat="1" ht="38.25" customHeight="1">
      <c r="B33" s="183"/>
      <c r="C33" s="712" t="str">
        <f>Translations!$B$297</f>
        <v>Lorsque la valeur à introduire est zéro, il convient de la saisir plutôt que de laisser la cellule vide. Si la cellule est laissée vide, l'autorité compétente ignore si la valeur n'a pas été introduite, si elle est non pertinente ou si elle est inconnue. Il convient de saisir systématiquement les valeurs nécessaires aux calculs (et en particulier les valeurs égales à zéro, car certaines formules ne produisent pas de résultat tant que des cellules restent vides).</v>
      </c>
      <c r="D33" s="721"/>
      <c r="E33" s="721"/>
      <c r="F33" s="721"/>
      <c r="G33" s="721"/>
      <c r="H33" s="721"/>
      <c r="I33" s="721"/>
      <c r="J33" s="721"/>
      <c r="K33" s="721"/>
      <c r="L33" s="721"/>
      <c r="M33" s="7"/>
      <c r="O33" s="517"/>
      <c r="P33" s="517"/>
      <c r="Q33" s="517"/>
      <c r="R33" s="517"/>
      <c r="S33" s="517"/>
      <c r="T33" s="517"/>
      <c r="U33" s="517"/>
      <c r="V33" s="517"/>
      <c r="W33" s="517"/>
      <c r="X33" s="517"/>
    </row>
    <row r="34" spans="2:24" s="521" customFormat="1" ht="51" customHeight="1">
      <c r="B34" s="183"/>
      <c r="C34" s="712" t="str">
        <f>Translations!$B$298</f>
        <v>Dans plusieurs champs, vous pouvez choisir parmi des entrées prédéfinies. Pour effectuer votre choix à partir d'une telle «liste déroulante, cliquez avec la souris sur la petite flèche apparaissant sur le côté droit de la cellule ou appuyez simultanément sur les touches «Alt+Flèche vers le bas après avoir sélectionné la cellule. Certains champs vous permettent de saisir votre propre texte, même s'il existe une liste déroulante. C'est le cas lorsque la liste déroulante contient des entrées vides.</v>
      </c>
      <c r="D34" s="721"/>
      <c r="E34" s="721"/>
      <c r="F34" s="721"/>
      <c r="G34" s="721"/>
      <c r="H34" s="721"/>
      <c r="I34" s="721"/>
      <c r="J34" s="721"/>
      <c r="K34" s="721"/>
      <c r="L34" s="721"/>
      <c r="M34" s="7"/>
      <c r="O34" s="517"/>
      <c r="P34" s="517"/>
      <c r="Q34" s="517"/>
      <c r="R34" s="517"/>
      <c r="S34" s="517"/>
      <c r="T34" s="517"/>
      <c r="U34" s="517"/>
      <c r="V34" s="517"/>
      <c r="W34" s="517"/>
      <c r="X34" s="517"/>
    </row>
    <row r="35" spans="2:24" s="521" customFormat="1" ht="38.25" customHeight="1">
      <c r="B35" s="183">
        <f>B31+1</f>
        <v>10</v>
      </c>
      <c r="C35" s="712" t="str">
        <f>Translations!$B$299</f>
        <v>Des messages d'erreurs apparaîtront parfois lorsque les données saisies sont incomplètes. Cependant, l'absence de message d'erreur ne garantit pas l'absence d'erreurs de calcul, un contrôle de l'exhaustivité des données n'étant pas toujours possible. Si aucun résultat n'apparaît dans un champ en vert, on peut supposer qu'il manque des données.</v>
      </c>
      <c r="D35" s="721"/>
      <c r="E35" s="721"/>
      <c r="F35" s="721"/>
      <c r="G35" s="721"/>
      <c r="H35" s="721"/>
      <c r="I35" s="721"/>
      <c r="J35" s="721"/>
      <c r="K35" s="721"/>
      <c r="L35" s="721"/>
      <c r="M35" s="7"/>
      <c r="O35" s="517"/>
      <c r="P35" s="517"/>
      <c r="Q35" s="517"/>
      <c r="R35" s="517"/>
      <c r="S35" s="517"/>
      <c r="T35" s="517"/>
      <c r="U35" s="517"/>
      <c r="V35" s="517"/>
      <c r="W35" s="517"/>
      <c r="X35" s="517"/>
    </row>
    <row r="36" spans="2:24" s="521" customFormat="1" ht="12.75" customHeight="1">
      <c r="B36" s="183"/>
      <c r="C36" s="712" t="str">
        <f>Translations!$B$300</f>
        <v>Il convient de veiller tout particulièrement à la cohérence entre les données et les unités indiquées.</v>
      </c>
      <c r="D36" s="721"/>
      <c r="E36" s="721"/>
      <c r="F36" s="721"/>
      <c r="G36" s="721"/>
      <c r="H36" s="721"/>
      <c r="I36" s="721"/>
      <c r="J36" s="721"/>
      <c r="K36" s="721"/>
      <c r="L36" s="721"/>
      <c r="M36" s="7"/>
      <c r="O36" s="517"/>
      <c r="P36" s="517"/>
      <c r="Q36" s="517"/>
      <c r="R36" s="517"/>
      <c r="S36" s="517"/>
      <c r="T36" s="517"/>
      <c r="U36" s="517"/>
      <c r="V36" s="517"/>
      <c r="W36" s="517"/>
      <c r="X36" s="517"/>
    </row>
    <row r="37" spans="2:24" s="521" customFormat="1" ht="12.75" customHeight="1">
      <c r="B37" s="183"/>
      <c r="C37" s="182" t="str">
        <f>Translations!$B$301</f>
        <v>Les messages d'erreur sont souvent très brefs en raison du peu d'espace disponible. Les plus importants sont les suivants:</v>
      </c>
      <c r="D37" s="19"/>
      <c r="E37" s="19"/>
      <c r="F37" s="19"/>
      <c r="G37" s="19"/>
      <c r="H37" s="19"/>
      <c r="I37" s="19"/>
      <c r="J37" s="19"/>
      <c r="K37" s="19"/>
      <c r="L37" s="19"/>
      <c r="M37" s="7"/>
      <c r="O37" s="517"/>
      <c r="P37" s="517"/>
      <c r="Q37" s="517"/>
      <c r="R37" s="517"/>
      <c r="S37" s="517"/>
      <c r="T37" s="517"/>
      <c r="U37" s="517"/>
      <c r="V37" s="517"/>
      <c r="W37" s="517"/>
      <c r="X37" s="517"/>
    </row>
    <row r="38" spans="2:24" s="521" customFormat="1" ht="25.5" customHeight="1">
      <c r="B38" s="183"/>
      <c r="C38" s="182"/>
      <c r="D38" s="184" t="str">
        <f>EUconst_Incomplete</f>
        <v>incomplet!</v>
      </c>
      <c r="E38" s="733" t="str">
        <f>Translations!$B$302</f>
        <v>Signifie que les données sont insuffisantes pour permettre le calcul (par exemple, il manque un facteur d'émission pour une année).</v>
      </c>
      <c r="F38" s="734"/>
      <c r="G38" s="734"/>
      <c r="H38" s="734"/>
      <c r="I38" s="734"/>
      <c r="J38" s="734"/>
      <c r="K38" s="734"/>
      <c r="L38" s="734"/>
      <c r="M38" s="7"/>
      <c r="O38" s="517"/>
      <c r="P38" s="517"/>
      <c r="Q38" s="517"/>
      <c r="R38" s="517"/>
      <c r="S38" s="517"/>
      <c r="T38" s="517"/>
      <c r="U38" s="517"/>
      <c r="V38" s="517"/>
      <c r="W38" s="517"/>
      <c r="X38" s="517"/>
    </row>
    <row r="39" spans="2:24" s="521" customFormat="1" ht="25.5" customHeight="1">
      <c r="B39" s="183"/>
      <c r="C39" s="182"/>
      <c r="D39" s="184" t="str">
        <f>EUconst_Inconsistent</f>
        <v>incohérent!</v>
      </c>
      <c r="E39" s="733" t="str">
        <f>Translations!$B$303</f>
        <v>Les unités sélectionnées ne sont pas cohérentes et les calculs basés sur les entrées correspondantes aboutiront à des résultats erronés.</v>
      </c>
      <c r="F39" s="734"/>
      <c r="G39" s="734"/>
      <c r="H39" s="734"/>
      <c r="I39" s="734"/>
      <c r="J39" s="734"/>
      <c r="K39" s="734"/>
      <c r="L39" s="734"/>
      <c r="M39" s="7"/>
      <c r="O39" s="517"/>
      <c r="P39" s="517"/>
      <c r="Q39" s="517"/>
      <c r="R39" s="517"/>
      <c r="S39" s="517"/>
      <c r="T39" s="517"/>
      <c r="U39" s="517"/>
      <c r="V39" s="517"/>
      <c r="W39" s="517"/>
      <c r="X39" s="517"/>
    </row>
    <row r="40" spans="2:24" s="521" customFormat="1" ht="38.25" customHeight="1">
      <c r="B40" s="183"/>
      <c r="C40" s="182"/>
      <c r="D40" s="675" t="str">
        <f>Translations!$B$304</f>
        <v>Introduire les données à la section A.III.3!</v>
      </c>
      <c r="E40" s="729" t="str">
        <f>Translations!$B$305</f>
        <v>Ce type de message fait référence à des parties du document. Il signifie qu'il manque des données dans les sections indiquées.</v>
      </c>
      <c r="F40" s="730"/>
      <c r="G40" s="730"/>
      <c r="H40" s="730"/>
      <c r="I40" s="730"/>
      <c r="J40" s="730"/>
      <c r="K40" s="730"/>
      <c r="L40" s="730"/>
      <c r="M40" s="7"/>
      <c r="O40" s="517"/>
      <c r="P40" s="517"/>
      <c r="Q40" s="517"/>
      <c r="R40" s="517"/>
      <c r="S40" s="517"/>
      <c r="T40" s="517"/>
      <c r="U40" s="517"/>
      <c r="V40" s="517"/>
      <c r="W40" s="517"/>
      <c r="X40" s="517"/>
    </row>
    <row r="41" spans="2:24" s="521" customFormat="1" ht="12.75" customHeight="1">
      <c r="B41" s="183"/>
      <c r="C41" s="182"/>
      <c r="D41" s="186" t="s">
        <v>256</v>
      </c>
      <c r="E41" s="731"/>
      <c r="F41" s="732"/>
      <c r="G41" s="732"/>
      <c r="H41" s="732"/>
      <c r="I41" s="732"/>
      <c r="J41" s="732"/>
      <c r="K41" s="732"/>
      <c r="L41" s="732"/>
      <c r="M41" s="7"/>
      <c r="O41" s="517"/>
      <c r="P41" s="517"/>
      <c r="Q41" s="517"/>
      <c r="R41" s="517"/>
      <c r="S41" s="517"/>
      <c r="T41" s="517"/>
      <c r="U41" s="517"/>
      <c r="V41" s="517"/>
      <c r="W41" s="517"/>
      <c r="X41" s="517"/>
    </row>
    <row r="42" spans="2:24" s="521" customFormat="1" ht="12.75" customHeight="1">
      <c r="B42" s="183"/>
      <c r="C42" s="182"/>
      <c r="D42" s="182"/>
      <c r="E42" s="182"/>
      <c r="F42" s="182"/>
      <c r="G42" s="182"/>
      <c r="H42" s="182"/>
      <c r="I42" s="182"/>
      <c r="J42" s="182"/>
      <c r="K42" s="182"/>
      <c r="L42" s="182"/>
      <c r="M42" s="7"/>
      <c r="O42" s="517"/>
      <c r="P42" s="517"/>
      <c r="Q42" s="517"/>
      <c r="R42" s="517"/>
      <c r="S42" s="517"/>
      <c r="T42" s="517"/>
      <c r="U42" s="517"/>
      <c r="V42" s="517"/>
      <c r="W42" s="517"/>
      <c r="X42" s="517"/>
    </row>
    <row r="43" spans="2:24" s="510" customFormat="1" ht="12.75" customHeight="1">
      <c r="B43" s="183">
        <f>B35+1</f>
        <v>11</v>
      </c>
      <c r="C43" s="757" t="str">
        <f>Translations!$B$306</f>
        <v>Codes de couleur et polices de caractères:</v>
      </c>
      <c r="D43" s="742"/>
      <c r="E43" s="742"/>
      <c r="F43" s="742"/>
      <c r="G43" s="742"/>
      <c r="H43" s="742"/>
      <c r="I43" s="742"/>
      <c r="J43" s="742"/>
      <c r="K43" s="742"/>
      <c r="L43" s="742"/>
      <c r="M43" s="95"/>
      <c r="O43" s="518"/>
      <c r="P43" s="518"/>
      <c r="Q43" s="518"/>
      <c r="R43" s="518"/>
      <c r="S43" s="518"/>
      <c r="T43" s="518"/>
      <c r="U43" s="518"/>
      <c r="V43" s="518"/>
      <c r="W43" s="518"/>
      <c r="X43" s="518"/>
    </row>
    <row r="44" spans="2:24" s="510" customFormat="1" ht="12.75" customHeight="1">
      <c r="B44" s="94"/>
      <c r="C44" s="743" t="str">
        <f>Translations!$B$307</f>
        <v>Texte noir en caractères gras:</v>
      </c>
      <c r="D44" s="742"/>
      <c r="E44" s="713" t="str">
        <f>Translations!$B$308</f>
        <v>Ce texte décrit les données requises.</v>
      </c>
      <c r="F44" s="713"/>
      <c r="G44" s="713"/>
      <c r="H44" s="713"/>
      <c r="I44" s="713"/>
      <c r="J44" s="713"/>
      <c r="K44" s="713"/>
      <c r="L44" s="714"/>
      <c r="M44" s="95"/>
      <c r="O44" s="518"/>
      <c r="P44" s="518"/>
      <c r="Q44" s="518"/>
      <c r="R44" s="518"/>
      <c r="S44" s="518"/>
      <c r="T44" s="518"/>
      <c r="U44" s="518"/>
      <c r="V44" s="518"/>
      <c r="W44" s="518"/>
      <c r="X44" s="518"/>
    </row>
    <row r="45" spans="2:24" s="510" customFormat="1" ht="25.5" customHeight="1">
      <c r="B45" s="94"/>
      <c r="C45" s="744" t="str">
        <f>Translations!$B$309</f>
        <v>Texte en italique en caractères plus petits:</v>
      </c>
      <c r="D45" s="745"/>
      <c r="E45" s="713" t="str">
        <f>Translations!$B$310</f>
        <v>Ce texte fournit des explications complémentaires. </v>
      </c>
      <c r="F45" s="713"/>
      <c r="G45" s="713"/>
      <c r="H45" s="713"/>
      <c r="I45" s="713"/>
      <c r="J45" s="713"/>
      <c r="K45" s="713"/>
      <c r="L45" s="714"/>
      <c r="M45" s="95"/>
      <c r="O45" s="518"/>
      <c r="P45" s="518"/>
      <c r="Q45" s="518"/>
      <c r="R45" s="518"/>
      <c r="S45" s="518"/>
      <c r="T45" s="518"/>
      <c r="U45" s="518"/>
      <c r="V45" s="518"/>
      <c r="W45" s="518"/>
      <c r="X45" s="518"/>
    </row>
    <row r="46" spans="2:24" s="510" customFormat="1" ht="25.5" customHeight="1">
      <c r="B46" s="94"/>
      <c r="C46" s="746"/>
      <c r="D46" s="736"/>
      <c r="E46" s="713" t="str">
        <f>Translations!$B$311</f>
        <v>Les champs en jaune doivent être obligatoirement remplis. Cependant, si cela n'est pas pertinent pour l'installation, aucune donnée n'est requise.</v>
      </c>
      <c r="F46" s="713"/>
      <c r="G46" s="713"/>
      <c r="H46" s="713"/>
      <c r="I46" s="713"/>
      <c r="J46" s="713"/>
      <c r="K46" s="713"/>
      <c r="L46" s="714"/>
      <c r="M46" s="95"/>
      <c r="O46" s="518"/>
      <c r="P46" s="518"/>
      <c r="Q46" s="518"/>
      <c r="R46" s="518"/>
      <c r="S46" s="518"/>
      <c r="T46" s="518"/>
      <c r="U46" s="518"/>
      <c r="V46" s="518"/>
      <c r="W46" s="518"/>
      <c r="X46" s="518"/>
    </row>
    <row r="47" spans="2:24" s="510" customFormat="1" ht="12.75">
      <c r="B47" s="94"/>
      <c r="C47" s="735"/>
      <c r="D47" s="736"/>
      <c r="E47" s="753" t="str">
        <f>Translations!$B$312</f>
        <v>Les champs en jaune clair sont facultatifs.</v>
      </c>
      <c r="F47" s="742"/>
      <c r="G47" s="742"/>
      <c r="H47" s="742"/>
      <c r="I47" s="742"/>
      <c r="J47" s="742"/>
      <c r="K47" s="742"/>
      <c r="L47" s="742"/>
      <c r="M47" s="95"/>
      <c r="O47" s="518"/>
      <c r="P47" s="518"/>
      <c r="Q47" s="518"/>
      <c r="R47" s="518"/>
      <c r="S47" s="518"/>
      <c r="T47" s="518"/>
      <c r="U47" s="518"/>
      <c r="V47" s="518"/>
      <c r="W47" s="518"/>
      <c r="X47" s="518"/>
    </row>
    <row r="48" spans="2:24" s="510" customFormat="1" ht="25.5" customHeight="1">
      <c r="B48" s="94"/>
      <c r="C48" s="737"/>
      <c r="D48" s="728"/>
      <c r="E48" s="753" t="str">
        <f>Translations!$B$313</f>
        <v>Dans les champs en vert figurent les résultats calculés automatiquement. Le texte en rouge est réservé aux messages d'erreur (données manquantes, etc.).</v>
      </c>
      <c r="F48" s="742"/>
      <c r="G48" s="742"/>
      <c r="H48" s="742"/>
      <c r="I48" s="742"/>
      <c r="J48" s="742"/>
      <c r="K48" s="742"/>
      <c r="L48" s="742"/>
      <c r="M48" s="95"/>
      <c r="O48" s="518"/>
      <c r="P48" s="518"/>
      <c r="Q48" s="518"/>
      <c r="R48" s="518"/>
      <c r="S48" s="518"/>
      <c r="T48" s="518"/>
      <c r="U48" s="518"/>
      <c r="V48" s="518"/>
      <c r="W48" s="518"/>
      <c r="X48" s="518"/>
    </row>
    <row r="49" spans="2:24" s="510" customFormat="1" ht="12.75" customHeight="1">
      <c r="B49" s="94"/>
      <c r="C49" s="727"/>
      <c r="D49" s="728"/>
      <c r="E49" s="713" t="str">
        <f>Translations!$B$314</f>
        <v>Un champ hachuré indique qu'il n'y a plus lieu de remplir ce champ en raison de l'information saisie dans un autre champ.</v>
      </c>
      <c r="F49" s="713"/>
      <c r="G49" s="713"/>
      <c r="H49" s="713"/>
      <c r="I49" s="713"/>
      <c r="J49" s="713"/>
      <c r="K49" s="713"/>
      <c r="L49" s="714"/>
      <c r="M49" s="95"/>
      <c r="O49" s="518"/>
      <c r="P49" s="518"/>
      <c r="Q49" s="518"/>
      <c r="R49" s="518"/>
      <c r="S49" s="518"/>
      <c r="T49" s="518"/>
      <c r="U49" s="518"/>
      <c r="V49" s="518"/>
      <c r="W49" s="518"/>
      <c r="X49" s="518"/>
    </row>
    <row r="50" spans="2:24" s="510" customFormat="1" ht="12.75" customHeight="1">
      <c r="B50" s="94"/>
      <c r="C50" s="755"/>
      <c r="D50" s="755"/>
      <c r="E50" s="713" t="str">
        <f>Translations!$B$315</f>
        <v>Les zones grisées doivent être remplies par les États membres avant la publication de la version adaptée du modèle.</v>
      </c>
      <c r="F50" s="742"/>
      <c r="G50" s="742"/>
      <c r="H50" s="742"/>
      <c r="I50" s="742"/>
      <c r="J50" s="742"/>
      <c r="K50" s="742"/>
      <c r="L50" s="742"/>
      <c r="M50" s="95"/>
      <c r="O50" s="518"/>
      <c r="P50" s="518"/>
      <c r="Q50" s="518"/>
      <c r="R50" s="518"/>
      <c r="S50" s="518"/>
      <c r="T50" s="518"/>
      <c r="U50" s="518"/>
      <c r="V50" s="518"/>
      <c r="W50" s="518"/>
      <c r="X50" s="518"/>
    </row>
    <row r="51" spans="2:24" s="510" customFormat="1" ht="12.75">
      <c r="B51" s="94"/>
      <c r="C51" s="756"/>
      <c r="D51" s="756"/>
      <c r="E51" s="713" t="str">
        <f>Translations!$B$316</f>
        <v>Les zones en gris clair sont réservées à la navigation et aux hyperliens.</v>
      </c>
      <c r="F51" s="742"/>
      <c r="G51" s="742"/>
      <c r="H51" s="742"/>
      <c r="I51" s="742"/>
      <c r="J51" s="742"/>
      <c r="K51" s="742"/>
      <c r="L51" s="742"/>
      <c r="M51" s="95"/>
      <c r="O51" s="518"/>
      <c r="P51" s="518"/>
      <c r="Q51" s="518"/>
      <c r="R51" s="518"/>
      <c r="S51" s="518"/>
      <c r="T51" s="518"/>
      <c r="U51" s="518"/>
      <c r="V51" s="518"/>
      <c r="W51" s="518"/>
      <c r="X51" s="518"/>
    </row>
    <row r="52" spans="2:24" s="510" customFormat="1" ht="12.75">
      <c r="B52" s="94"/>
      <c r="C52" s="96"/>
      <c r="D52" s="97"/>
      <c r="E52" s="94"/>
      <c r="F52" s="94"/>
      <c r="G52" s="94"/>
      <c r="H52" s="94"/>
      <c r="I52" s="94"/>
      <c r="J52" s="94"/>
      <c r="K52" s="94"/>
      <c r="L52" s="95"/>
      <c r="M52" s="95"/>
      <c r="O52" s="518"/>
      <c r="P52" s="518"/>
      <c r="Q52" s="518"/>
      <c r="R52" s="518"/>
      <c r="S52" s="518"/>
      <c r="T52" s="518"/>
      <c r="U52" s="518"/>
      <c r="V52" s="518"/>
      <c r="W52" s="518"/>
      <c r="X52" s="518"/>
    </row>
    <row r="53" spans="2:24" s="521" customFormat="1" ht="51" customHeight="1">
      <c r="B53" s="183">
        <f>B43+1</f>
        <v>12</v>
      </c>
      <c r="C53" s="712" t="str">
        <f>Translations!$B$317</f>
        <v>Les panneaux de navigation au début de chaque feuille contiennent des hyperliens permettant d'accéder rapidement aux différentes sections du document. La première ligne («Table des matières, «Feuille précédente, «Feuille suivante, «Résumé) et les points «Début de feuille et «Fin de feuille sont identiques sur toutes les feuilles. Selon la feuille, le menu comporte plus ou moins d'éléments. Si la couleur du fond de l'une des zones d'hyperlien devient rouge, cela signifie qu'il manque des données dans la section correspondante (et non dans l'ensemble des feuilles).</v>
      </c>
      <c r="D53" s="721"/>
      <c r="E53" s="721"/>
      <c r="F53" s="721"/>
      <c r="G53" s="721"/>
      <c r="H53" s="721"/>
      <c r="I53" s="721"/>
      <c r="J53" s="721"/>
      <c r="K53" s="721"/>
      <c r="L53" s="721"/>
      <c r="M53" s="7"/>
      <c r="O53" s="517"/>
      <c r="P53" s="517"/>
      <c r="Q53" s="517"/>
      <c r="R53" s="517"/>
      <c r="S53" s="517"/>
      <c r="T53" s="517"/>
      <c r="U53" s="517"/>
      <c r="V53" s="517"/>
      <c r="W53" s="517"/>
      <c r="X53" s="517"/>
    </row>
    <row r="54" spans="2:24" s="521" customFormat="1" ht="51" customHeight="1">
      <c r="B54" s="183">
        <f>B53+1</f>
        <v>13</v>
      </c>
      <c r="C54" s="712" t="str">
        <f>Translations!$B$318</f>
        <v>Ce modèle a été verrouillé pour empêcher la saisie de données en dehors des champs en jaune. Toutefois, pour des raisons de transparence, aucun mot de passe n'a été établi. Cela permet de voir toutes les formules. Lors de l'utilisation de ce fichier pour l'introduction des données, il est recommandé de maintenir activée la protection. La protection des feuilles ne devrait être désactivée que pour vérifier la validité des formules. Il est recommandé de procéder à cette opération dans un fichier à part.</v>
      </c>
      <c r="D54" s="721"/>
      <c r="E54" s="721"/>
      <c r="F54" s="721"/>
      <c r="G54" s="721"/>
      <c r="H54" s="721"/>
      <c r="I54" s="721"/>
      <c r="J54" s="721"/>
      <c r="K54" s="721"/>
      <c r="L54" s="721"/>
      <c r="M54" s="7"/>
      <c r="O54" s="517"/>
      <c r="P54" s="517"/>
      <c r="Q54" s="517"/>
      <c r="R54" s="517"/>
      <c r="S54" s="517"/>
      <c r="T54" s="517"/>
      <c r="U54" s="517"/>
      <c r="V54" s="517"/>
      <c r="W54" s="517"/>
      <c r="X54" s="517"/>
    </row>
    <row r="55" spans="2:24" s="521" customFormat="1" ht="38.25" customHeight="1">
      <c r="B55" s="183">
        <f>B54+1</f>
        <v>14</v>
      </c>
      <c r="C55" s="763" t="str">
        <f>Translations!$B$319</f>
        <v>Afin de protéger les formules contre toute modification involontaire aboutissant généralement à des résultats erronés et trompeurs,  
il est extrêmement important de NE PAS UTILISER les fonctions COUPER et COLLER. 
Si vous souhaitez déplacer des données, COPIEZ et COLLEZ-les d'abord, puis effacez les données non désirées de l'emplacement initial (erroné).</v>
      </c>
      <c r="D55" s="764"/>
      <c r="E55" s="764"/>
      <c r="F55" s="764"/>
      <c r="G55" s="764"/>
      <c r="H55" s="764"/>
      <c r="I55" s="764"/>
      <c r="J55" s="764"/>
      <c r="K55" s="764"/>
      <c r="L55" s="764"/>
      <c r="M55" s="7"/>
      <c r="O55" s="517"/>
      <c r="P55" s="517"/>
      <c r="Q55" s="517"/>
      <c r="R55" s="517"/>
      <c r="S55" s="517"/>
      <c r="T55" s="517"/>
      <c r="U55" s="517"/>
      <c r="V55" s="517"/>
      <c r="W55" s="517"/>
      <c r="X55" s="517"/>
    </row>
    <row r="56" spans="2:24" s="521" customFormat="1" ht="51.75" customHeight="1">
      <c r="B56" s="183">
        <f>B55+1</f>
        <v>15</v>
      </c>
      <c r="C56" s="712" t="str">
        <f>Translations!$B$320</f>
        <v>Les champs de données n'ont pas été optimisés pour les formats numériques et autres. Cependant, la protection des feuilles a été limitée de manière à vous permettre d'utiliser vos propres formats. Vous pouvez notamment décider du nombre de décimales affichées. En principe, le nombre de décimales est indépendant du degré de précision du calcul. En principe, l'option «Precision as displayed dans MS Excel devrait être désactivée. Pour de plus amples renseignements, consulter la fonction «Help de MS Excel à ce sujet.</v>
      </c>
      <c r="D56" s="721"/>
      <c r="E56" s="721"/>
      <c r="F56" s="721"/>
      <c r="G56" s="721"/>
      <c r="H56" s="721"/>
      <c r="I56" s="721"/>
      <c r="J56" s="721"/>
      <c r="K56" s="721"/>
      <c r="L56" s="721"/>
      <c r="M56" s="7"/>
      <c r="O56" s="517"/>
      <c r="P56" s="517"/>
      <c r="Q56" s="517"/>
      <c r="R56" s="517"/>
      <c r="S56" s="517"/>
      <c r="T56" s="517"/>
      <c r="U56" s="517"/>
      <c r="V56" s="517"/>
      <c r="W56" s="517"/>
      <c r="X56" s="517"/>
    </row>
    <row r="57" spans="2:24" s="521" customFormat="1" ht="12.75" customHeight="1" thickBot="1">
      <c r="B57" s="180"/>
      <c r="C57" s="712"/>
      <c r="D57" s="721"/>
      <c r="E57" s="721"/>
      <c r="F57" s="721"/>
      <c r="G57" s="721"/>
      <c r="H57" s="721"/>
      <c r="I57" s="721"/>
      <c r="J57" s="721"/>
      <c r="K57" s="721"/>
      <c r="L57" s="721"/>
      <c r="M57" s="7"/>
      <c r="O57" s="517"/>
      <c r="P57" s="517"/>
      <c r="Q57" s="517"/>
      <c r="R57" s="517"/>
      <c r="S57" s="517"/>
      <c r="T57" s="517"/>
      <c r="U57" s="517"/>
      <c r="V57" s="517"/>
      <c r="W57" s="517"/>
      <c r="X57" s="517"/>
    </row>
    <row r="58" spans="2:24" s="521" customFormat="1" ht="89.25" customHeight="1" thickBot="1">
      <c r="B58" s="183">
        <f>B56+1</f>
        <v>16</v>
      </c>
      <c r="C58" s="747" t="str">
        <f>Translations!$B$321</f>
        <v>AVERTISSEMENT: Toutes les formules ont été soigneusement élaborées. Néanmoins, la possibilité qu'elles contiennent des erreurs ne peut être totalement exclue. 
Comme indiqué précédemment, la transparence totale est assurée aux fins du contrôle de la validité des calculs. Ni les auteurs de ce fichier, ni la Commission européenne ne peuvent être tenus pour responsables des éventuels dommages découlant de résultats erronés ou trompeurs obtenus à partir des calculs fournis.  
La vérification de l'exactitude des données notifiées à l'autorité compétente relève entièrement de la responsabilité de l'utilisateur de ce fichier (c'est-à-dire l'exploitant de l'installation relevant du SEQE).</v>
      </c>
      <c r="D58" s="748"/>
      <c r="E58" s="748"/>
      <c r="F58" s="748"/>
      <c r="G58" s="748"/>
      <c r="H58" s="748"/>
      <c r="I58" s="748"/>
      <c r="J58" s="748"/>
      <c r="K58" s="748"/>
      <c r="L58" s="749"/>
      <c r="M58" s="7"/>
      <c r="O58" s="517"/>
      <c r="P58" s="517"/>
      <c r="Q58" s="517"/>
      <c r="R58" s="517"/>
      <c r="S58" s="517"/>
      <c r="T58" s="517"/>
      <c r="U58" s="517"/>
      <c r="V58" s="517"/>
      <c r="W58" s="517"/>
      <c r="X58" s="517"/>
    </row>
    <row r="59" spans="2:13" ht="12.75">
      <c r="B59" s="83"/>
      <c r="C59" s="83"/>
      <c r="D59" s="83"/>
      <c r="E59" s="83"/>
      <c r="F59" s="83"/>
      <c r="G59" s="83"/>
      <c r="H59" s="83"/>
      <c r="I59" s="83"/>
      <c r="J59" s="83"/>
      <c r="K59" s="83"/>
      <c r="L59" s="86"/>
      <c r="M59" s="86"/>
    </row>
    <row r="60" spans="2:13" ht="12.75">
      <c r="B60" s="83"/>
      <c r="C60" s="83"/>
      <c r="D60" s="83"/>
      <c r="E60" s="83"/>
      <c r="F60" s="83"/>
      <c r="G60" s="83"/>
      <c r="H60" s="83"/>
      <c r="I60" s="83"/>
      <c r="J60" s="83"/>
      <c r="K60" s="83"/>
      <c r="L60" s="86"/>
      <c r="M60" s="86"/>
    </row>
    <row r="61" spans="2:24" s="521" customFormat="1" ht="15.75">
      <c r="B61" s="12"/>
      <c r="C61" s="720" t="str">
        <f>Translations!$B$322</f>
        <v>Autres informations propres à l'État membre</v>
      </c>
      <c r="D61" s="720"/>
      <c r="E61" s="720"/>
      <c r="F61" s="720"/>
      <c r="G61" s="720"/>
      <c r="H61" s="720"/>
      <c r="I61" s="720"/>
      <c r="J61" s="720"/>
      <c r="K61" s="720"/>
      <c r="L61" s="720"/>
      <c r="M61" s="7"/>
      <c r="O61" s="517"/>
      <c r="P61" s="517"/>
      <c r="Q61" s="517"/>
      <c r="R61" s="517"/>
      <c r="S61" s="517"/>
      <c r="T61" s="517"/>
      <c r="U61" s="517"/>
      <c r="V61" s="517"/>
      <c r="W61" s="517"/>
      <c r="X61" s="517"/>
    </row>
    <row r="62" spans="2:24" s="521" customFormat="1" ht="12.75">
      <c r="B62" s="88"/>
      <c r="C62" s="88"/>
      <c r="D62" s="88"/>
      <c r="E62" s="88"/>
      <c r="F62" s="88"/>
      <c r="G62" s="88"/>
      <c r="H62" s="88"/>
      <c r="I62" s="88"/>
      <c r="J62" s="88"/>
      <c r="K62" s="19"/>
      <c r="L62" s="19"/>
      <c r="M62" s="7"/>
      <c r="O62" s="517"/>
      <c r="P62" s="517"/>
      <c r="Q62" s="517"/>
      <c r="R62" s="517"/>
      <c r="S62" s="517"/>
      <c r="T62" s="517"/>
      <c r="U62" s="517"/>
      <c r="V62" s="517"/>
      <c r="W62" s="517"/>
      <c r="X62" s="517"/>
    </row>
    <row r="63" spans="2:24" s="521" customFormat="1" ht="15" customHeight="1">
      <c r="B63" s="19"/>
      <c r="C63" s="739" t="str">
        <f>Translations!$B$323</f>
        <v>La présente déclaration doit être remise à votre autorité compétente, à l'adresse suivante:</v>
      </c>
      <c r="D63" s="739"/>
      <c r="E63" s="739"/>
      <c r="F63" s="739"/>
      <c r="G63" s="739"/>
      <c r="H63" s="739"/>
      <c r="I63" s="739"/>
      <c r="J63" s="739"/>
      <c r="K63" s="739"/>
      <c r="L63" s="739"/>
      <c r="M63" s="7"/>
      <c r="O63" s="517"/>
      <c r="P63" s="517"/>
      <c r="Q63" s="517"/>
      <c r="R63" s="517"/>
      <c r="S63" s="517"/>
      <c r="T63" s="517"/>
      <c r="U63" s="517"/>
      <c r="V63" s="517"/>
      <c r="W63" s="517"/>
      <c r="X63" s="517"/>
    </row>
    <row r="64" spans="2:13" ht="12.75">
      <c r="B64" s="94"/>
      <c r="C64" s="94"/>
      <c r="D64" s="94"/>
      <c r="E64" s="94"/>
      <c r="F64" s="94"/>
      <c r="G64" s="94"/>
      <c r="H64" s="94"/>
      <c r="I64" s="94"/>
      <c r="J64" s="94"/>
      <c r="K64" s="94"/>
      <c r="L64" s="95"/>
      <c r="M64" s="86"/>
    </row>
    <row r="65" spans="2:13" ht="12.75" customHeight="1">
      <c r="B65" s="94"/>
      <c r="C65" s="94"/>
      <c r="D65" s="94"/>
      <c r="E65" s="765" t="str">
        <f>Translations!$B$324</f>
        <v>Ce document doit être adressé à la DREAL compétente pour l'installation concernée</v>
      </c>
      <c r="F65" s="766"/>
      <c r="G65" s="766"/>
      <c r="H65" s="767"/>
      <c r="I65" s="94"/>
      <c r="J65" s="94"/>
      <c r="K65" s="94"/>
      <c r="L65" s="95"/>
      <c r="M65" s="86"/>
    </row>
    <row r="66" spans="2:13" ht="12.75">
      <c r="B66" s="94"/>
      <c r="C66" s="94"/>
      <c r="D66" s="94"/>
      <c r="E66" s="768"/>
      <c r="F66" s="769"/>
      <c r="G66" s="769"/>
      <c r="H66" s="770"/>
      <c r="I66" s="94"/>
      <c r="J66" s="94"/>
      <c r="K66" s="94"/>
      <c r="L66" s="95"/>
      <c r="M66" s="86"/>
    </row>
    <row r="67" spans="2:13" ht="12.75">
      <c r="B67" s="94"/>
      <c r="C67" s="94"/>
      <c r="D67" s="94"/>
      <c r="E67" s="768"/>
      <c r="F67" s="769"/>
      <c r="G67" s="769"/>
      <c r="H67" s="770"/>
      <c r="I67" s="94"/>
      <c r="J67" s="94"/>
      <c r="K67" s="94"/>
      <c r="L67" s="95"/>
      <c r="M67" s="86"/>
    </row>
    <row r="68" spans="2:13" ht="12.75">
      <c r="B68" s="94"/>
      <c r="C68" s="83"/>
      <c r="D68" s="94"/>
      <c r="E68" s="768"/>
      <c r="F68" s="769"/>
      <c r="G68" s="769"/>
      <c r="H68" s="770"/>
      <c r="I68" s="94"/>
      <c r="J68" s="94"/>
      <c r="K68" s="94"/>
      <c r="L68" s="95"/>
      <c r="M68" s="86"/>
    </row>
    <row r="69" spans="2:13" ht="12.75">
      <c r="B69" s="94"/>
      <c r="C69" s="94"/>
      <c r="D69" s="94"/>
      <c r="E69" s="768"/>
      <c r="F69" s="769"/>
      <c r="G69" s="769"/>
      <c r="H69" s="770"/>
      <c r="I69" s="94"/>
      <c r="J69" s="94"/>
      <c r="K69" s="94"/>
      <c r="L69" s="95"/>
      <c r="M69" s="86"/>
    </row>
    <row r="70" spans="2:13" ht="12.75">
      <c r="B70" s="94"/>
      <c r="C70" s="94"/>
      <c r="D70" s="94"/>
      <c r="E70" s="768"/>
      <c r="F70" s="769"/>
      <c r="G70" s="769"/>
      <c r="H70" s="770"/>
      <c r="I70" s="94"/>
      <c r="J70" s="94"/>
      <c r="K70" s="94"/>
      <c r="L70" s="95"/>
      <c r="M70" s="86"/>
    </row>
    <row r="71" spans="2:13" ht="12.75">
      <c r="B71" s="94"/>
      <c r="C71" s="94"/>
      <c r="D71" s="94"/>
      <c r="E71" s="768"/>
      <c r="F71" s="769"/>
      <c r="G71" s="769"/>
      <c r="H71" s="770"/>
      <c r="I71" s="94"/>
      <c r="J71" s="94"/>
      <c r="K71" s="94"/>
      <c r="L71" s="95"/>
      <c r="M71" s="86"/>
    </row>
    <row r="72" spans="2:13" ht="12.75">
      <c r="B72" s="94"/>
      <c r="C72" s="94"/>
      <c r="D72" s="94"/>
      <c r="E72" s="771"/>
      <c r="F72" s="772"/>
      <c r="G72" s="772"/>
      <c r="H72" s="773"/>
      <c r="I72" s="94"/>
      <c r="J72" s="94"/>
      <c r="K72" s="94"/>
      <c r="L72" s="95"/>
      <c r="M72" s="86"/>
    </row>
    <row r="73" spans="2:13" ht="12.75">
      <c r="B73" s="94"/>
      <c r="C73" s="94"/>
      <c r="D73" s="94"/>
      <c r="E73" s="94"/>
      <c r="F73" s="94"/>
      <c r="G73" s="94"/>
      <c r="H73" s="94"/>
      <c r="I73" s="94"/>
      <c r="J73" s="94"/>
      <c r="K73" s="94"/>
      <c r="L73" s="95"/>
      <c r="M73" s="86"/>
    </row>
    <row r="74" spans="2:13" ht="12.75">
      <c r="B74" s="83"/>
      <c r="C74" s="83"/>
      <c r="D74" s="83"/>
      <c r="E74" s="83"/>
      <c r="F74" s="83"/>
      <c r="G74" s="83"/>
      <c r="H74" s="83"/>
      <c r="I74" s="83"/>
      <c r="J74" s="83"/>
      <c r="K74" s="83"/>
      <c r="L74" s="86"/>
      <c r="M74" s="86"/>
    </row>
    <row r="75" spans="2:13" ht="15.75">
      <c r="B75" s="86"/>
      <c r="C75" s="754" t="str">
        <f>Translations!$B$325</f>
        <v>Sources d'information:</v>
      </c>
      <c r="D75" s="754"/>
      <c r="E75" s="754"/>
      <c r="F75" s="754"/>
      <c r="G75" s="754"/>
      <c r="H75" s="754"/>
      <c r="I75" s="754"/>
      <c r="J75" s="754"/>
      <c r="K75" s="754"/>
      <c r="L75" s="754"/>
      <c r="M75" s="86"/>
    </row>
    <row r="76" spans="2:13" ht="12.75">
      <c r="B76" s="86"/>
      <c r="C76" s="743" t="str">
        <f>Translations!$B$326</f>
        <v>Sites internet de l'UE:</v>
      </c>
      <c r="D76" s="742"/>
      <c r="E76" s="742"/>
      <c r="F76" s="742"/>
      <c r="G76" s="742"/>
      <c r="H76" s="742"/>
      <c r="I76" s="742"/>
      <c r="J76" s="742"/>
      <c r="K76" s="742"/>
      <c r="L76" s="742"/>
      <c r="M76" s="86"/>
    </row>
    <row r="77" spans="2:13" ht="12.75">
      <c r="B77" s="86"/>
      <c r="C77" s="739" t="str">
        <f>Translations!$B$327</f>
        <v>Législation de l'UE:</v>
      </c>
      <c r="D77" s="739"/>
      <c r="E77" s="761" t="str">
        <f>Translations!$B$328</f>
        <v>http://eur-lex.europa.eu/fr/index.htm</v>
      </c>
      <c r="F77" s="742"/>
      <c r="G77" s="742"/>
      <c r="H77" s="742"/>
      <c r="I77" s="742"/>
      <c r="J77" s="742"/>
      <c r="K77" s="742"/>
      <c r="L77" s="742"/>
      <c r="M77" s="86"/>
    </row>
    <row r="78" spans="2:13" ht="12.75">
      <c r="B78" s="86"/>
      <c r="C78" s="739" t="str">
        <f>Translations!$B$329</f>
        <v>Généralités sur le SEQE de l'UE:</v>
      </c>
      <c r="D78" s="739"/>
      <c r="E78" s="761" t="str">
        <f>Translations!$B$330</f>
        <v>http://ec.europa.eu/clima/policies/ets/index_en.htm</v>
      </c>
      <c r="F78" s="742"/>
      <c r="G78" s="742"/>
      <c r="H78" s="742"/>
      <c r="I78" s="742"/>
      <c r="J78" s="742"/>
      <c r="K78" s="742"/>
      <c r="L78" s="742"/>
      <c r="M78" s="86"/>
    </row>
    <row r="79" spans="2:13" ht="12.75">
      <c r="B79" s="86"/>
      <c r="C79" s="774" t="str">
        <f>Translations!$B$1024</f>
        <v>Guides et modèles publiés par la Commission concernant les règles d'allocation: </v>
      </c>
      <c r="D79" s="742"/>
      <c r="E79" s="742"/>
      <c r="F79" s="742"/>
      <c r="G79" s="742"/>
      <c r="H79" s="742"/>
      <c r="I79" s="742"/>
      <c r="J79" s="742"/>
      <c r="K79" s="742"/>
      <c r="L79" s="742"/>
      <c r="M79" s="86"/>
    </row>
    <row r="80" spans="2:13" ht="12.75">
      <c r="B80" s="86"/>
      <c r="C80" s="774"/>
      <c r="D80" s="739"/>
      <c r="E80" s="761" t="str">
        <f>Translations!$B$1025</f>
        <v>http://ec.europa.eu/clima/policies/ets/benchmarking/documentation_en.htm</v>
      </c>
      <c r="F80" s="762"/>
      <c r="G80" s="762"/>
      <c r="H80" s="762"/>
      <c r="I80" s="762"/>
      <c r="J80" s="762"/>
      <c r="K80" s="762"/>
      <c r="L80" s="762"/>
      <c r="M80" s="86"/>
    </row>
    <row r="81" spans="2:13" ht="12.75">
      <c r="B81" s="83"/>
      <c r="C81" s="83"/>
      <c r="D81" s="181"/>
      <c r="E81" s="5"/>
      <c r="F81" s="5"/>
      <c r="G81" s="5"/>
      <c r="H81" s="5"/>
      <c r="I81" s="5"/>
      <c r="J81" s="83"/>
      <c r="K81" s="83"/>
      <c r="L81" s="86"/>
      <c r="M81" s="86"/>
    </row>
    <row r="82" spans="2:13" ht="12.75">
      <c r="B82" s="86"/>
      <c r="C82" s="743" t="str">
        <f>Translations!$B$331</f>
        <v>Autres sites internet:</v>
      </c>
      <c r="D82" s="742"/>
      <c r="E82" s="742"/>
      <c r="F82" s="742"/>
      <c r="G82" s="742"/>
      <c r="H82" s="742"/>
      <c r="I82" s="742"/>
      <c r="J82" s="742"/>
      <c r="K82" s="742"/>
      <c r="L82" s="742"/>
      <c r="M82" s="86"/>
    </row>
    <row r="83" spans="2:13" ht="12.75">
      <c r="B83" s="86"/>
      <c r="C83" s="738" t="str">
        <f>Translations!$B$332</f>
        <v>http://www.developpement-durable.gouv.fr/-Systeme-d-echange-de-quotas-.html</v>
      </c>
      <c r="D83" s="738"/>
      <c r="E83" s="738"/>
      <c r="F83" s="738"/>
      <c r="G83" s="738"/>
      <c r="H83" s="738"/>
      <c r="I83" s="738"/>
      <c r="J83" s="738"/>
      <c r="K83" s="738"/>
      <c r="L83" s="738"/>
      <c r="M83" s="86"/>
    </row>
    <row r="84" spans="2:13" ht="12.75">
      <c r="B84" s="86"/>
      <c r="C84" s="738"/>
      <c r="D84" s="738"/>
      <c r="E84" s="738"/>
      <c r="F84" s="738"/>
      <c r="G84" s="738"/>
      <c r="H84" s="738"/>
      <c r="I84" s="738"/>
      <c r="J84" s="738"/>
      <c r="K84" s="738"/>
      <c r="L84" s="738"/>
      <c r="M84" s="86"/>
    </row>
    <row r="85" spans="2:13" ht="12.75">
      <c r="B85" s="86"/>
      <c r="C85" s="739" t="str">
        <f>Translations!$B$333</f>
        <v>Service d'assistance:</v>
      </c>
      <c r="D85" s="739"/>
      <c r="E85" s="739"/>
      <c r="F85" s="739"/>
      <c r="G85" s="739"/>
      <c r="H85" s="739"/>
      <c r="I85" s="739"/>
      <c r="J85" s="739"/>
      <c r="K85" s="739"/>
      <c r="L85" s="739"/>
      <c r="M85" s="86"/>
    </row>
    <row r="86" spans="2:13" ht="12.75">
      <c r="B86" s="86"/>
      <c r="C86" s="738" t="str">
        <f>Translations!$B$334</f>
        <v>&lt;à remplir par l'État membre, le cas échéant&gt;</v>
      </c>
      <c r="D86" s="738"/>
      <c r="E86" s="738"/>
      <c r="F86" s="738"/>
      <c r="G86" s="738"/>
      <c r="H86" s="738"/>
      <c r="I86" s="738"/>
      <c r="J86" s="738"/>
      <c r="K86" s="738"/>
      <c r="L86" s="738"/>
      <c r="M86" s="86"/>
    </row>
    <row r="87" spans="2:13" ht="12.75">
      <c r="B87" s="86"/>
      <c r="C87" s="738"/>
      <c r="D87" s="738"/>
      <c r="E87" s="738"/>
      <c r="F87" s="738"/>
      <c r="G87" s="738"/>
      <c r="H87" s="738"/>
      <c r="I87" s="738"/>
      <c r="J87" s="738"/>
      <c r="K87" s="738"/>
      <c r="L87" s="738"/>
      <c r="M87" s="86"/>
    </row>
    <row r="88" spans="2:13" ht="12.75">
      <c r="B88" s="86"/>
      <c r="C88" s="5"/>
      <c r="D88" s="5"/>
      <c r="E88" s="5"/>
      <c r="F88" s="5"/>
      <c r="G88" s="5"/>
      <c r="H88" s="5"/>
      <c r="I88" s="5"/>
      <c r="J88" s="5"/>
      <c r="K88" s="5"/>
      <c r="L88" s="5"/>
      <c r="M88" s="86"/>
    </row>
    <row r="89" spans="2:24" s="510" customFormat="1" ht="12.75">
      <c r="B89" s="95"/>
      <c r="C89" s="94"/>
      <c r="D89" s="94"/>
      <c r="E89" s="94"/>
      <c r="F89" s="94"/>
      <c r="G89" s="94"/>
      <c r="H89" s="94"/>
      <c r="I89" s="94"/>
      <c r="J89" s="94"/>
      <c r="K89" s="94"/>
      <c r="L89" s="94"/>
      <c r="M89" s="95"/>
      <c r="O89" s="518"/>
      <c r="P89" s="518"/>
      <c r="Q89" s="518"/>
      <c r="R89" s="518"/>
      <c r="S89" s="518"/>
      <c r="T89" s="518"/>
      <c r="U89" s="518"/>
      <c r="V89" s="518"/>
      <c r="W89" s="518"/>
      <c r="X89" s="518"/>
    </row>
    <row r="90" spans="2:13" ht="15.75">
      <c r="B90" s="86"/>
      <c r="C90" s="751" t="str">
        <f>Translations!$B$335</f>
        <v>Consignes supplémentaires de l'État membre:</v>
      </c>
      <c r="D90" s="751"/>
      <c r="E90" s="751"/>
      <c r="F90" s="751"/>
      <c r="G90" s="751"/>
      <c r="H90" s="751"/>
      <c r="I90" s="751"/>
      <c r="J90" s="751"/>
      <c r="K90" s="751"/>
      <c r="L90" s="751"/>
      <c r="M90" s="86"/>
    </row>
    <row r="91" spans="2:13" ht="12.75">
      <c r="B91" s="86"/>
      <c r="C91" s="738"/>
      <c r="D91" s="738"/>
      <c r="E91" s="738"/>
      <c r="F91" s="738"/>
      <c r="G91" s="738"/>
      <c r="H91" s="738"/>
      <c r="I91" s="738"/>
      <c r="J91" s="738"/>
      <c r="K91" s="738"/>
      <c r="L91" s="738"/>
      <c r="M91" s="86"/>
    </row>
    <row r="92" spans="2:13" ht="12.75">
      <c r="B92" s="86"/>
      <c r="C92" s="738"/>
      <c r="D92" s="738"/>
      <c r="E92" s="738"/>
      <c r="F92" s="738"/>
      <c r="G92" s="738"/>
      <c r="H92" s="738"/>
      <c r="I92" s="738"/>
      <c r="J92" s="738"/>
      <c r="K92" s="738"/>
      <c r="L92" s="738"/>
      <c r="M92" s="86"/>
    </row>
    <row r="93" spans="2:13" ht="12.75">
      <c r="B93" s="86"/>
      <c r="C93" s="738"/>
      <c r="D93" s="738"/>
      <c r="E93" s="738"/>
      <c r="F93" s="738"/>
      <c r="G93" s="738"/>
      <c r="H93" s="738"/>
      <c r="I93" s="738"/>
      <c r="J93" s="738"/>
      <c r="K93" s="738"/>
      <c r="L93" s="738"/>
      <c r="M93" s="86"/>
    </row>
    <row r="94" spans="2:13" ht="12.75">
      <c r="B94" s="86"/>
      <c r="C94" s="738"/>
      <c r="D94" s="738"/>
      <c r="E94" s="738"/>
      <c r="F94" s="738"/>
      <c r="G94" s="738"/>
      <c r="H94" s="738"/>
      <c r="I94" s="738"/>
      <c r="J94" s="738"/>
      <c r="K94" s="738"/>
      <c r="L94" s="738"/>
      <c r="M94" s="86"/>
    </row>
    <row r="95" spans="2:13" ht="12.75">
      <c r="B95" s="86"/>
      <c r="C95" s="738"/>
      <c r="D95" s="738"/>
      <c r="E95" s="738"/>
      <c r="F95" s="738"/>
      <c r="G95" s="738"/>
      <c r="H95" s="738"/>
      <c r="I95" s="738"/>
      <c r="J95" s="738"/>
      <c r="K95" s="738"/>
      <c r="L95" s="738"/>
      <c r="M95" s="86"/>
    </row>
    <row r="96" spans="2:13" ht="12.75">
      <c r="B96" s="86"/>
      <c r="C96" s="738"/>
      <c r="D96" s="738"/>
      <c r="E96" s="738"/>
      <c r="F96" s="738"/>
      <c r="G96" s="738"/>
      <c r="H96" s="738"/>
      <c r="I96" s="738"/>
      <c r="J96" s="738"/>
      <c r="K96" s="738"/>
      <c r="L96" s="738"/>
      <c r="M96" s="86"/>
    </row>
    <row r="97" spans="2:13" ht="12.75">
      <c r="B97" s="86"/>
      <c r="C97" s="738"/>
      <c r="D97" s="738"/>
      <c r="E97" s="738"/>
      <c r="F97" s="738"/>
      <c r="G97" s="738"/>
      <c r="H97" s="738"/>
      <c r="I97" s="738"/>
      <c r="J97" s="738"/>
      <c r="K97" s="738"/>
      <c r="L97" s="738"/>
      <c r="M97" s="86"/>
    </row>
    <row r="98" spans="2:13" ht="12.75">
      <c r="B98" s="86"/>
      <c r="C98" s="738"/>
      <c r="D98" s="738"/>
      <c r="E98" s="738"/>
      <c r="F98" s="738"/>
      <c r="G98" s="738"/>
      <c r="H98" s="738"/>
      <c r="I98" s="738"/>
      <c r="J98" s="738"/>
      <c r="K98" s="738"/>
      <c r="L98" s="738"/>
      <c r="M98" s="86"/>
    </row>
    <row r="99" spans="2:13" ht="12.75">
      <c r="B99" s="86"/>
      <c r="C99" s="738"/>
      <c r="D99" s="738"/>
      <c r="E99" s="738"/>
      <c r="F99" s="738"/>
      <c r="G99" s="738"/>
      <c r="H99" s="738"/>
      <c r="I99" s="738"/>
      <c r="J99" s="738"/>
      <c r="K99" s="738"/>
      <c r="L99" s="738"/>
      <c r="M99" s="86"/>
    </row>
    <row r="100" spans="2:13" ht="12.75">
      <c r="B100" s="86"/>
      <c r="C100" s="738"/>
      <c r="D100" s="738"/>
      <c r="E100" s="738"/>
      <c r="F100" s="738"/>
      <c r="G100" s="738"/>
      <c r="H100" s="738"/>
      <c r="I100" s="738"/>
      <c r="J100" s="738"/>
      <c r="K100" s="738"/>
      <c r="L100" s="738"/>
      <c r="M100" s="86"/>
    </row>
    <row r="101" spans="2:13" ht="12.75">
      <c r="B101" s="86"/>
      <c r="C101" s="738"/>
      <c r="D101" s="738"/>
      <c r="E101" s="738"/>
      <c r="F101" s="738"/>
      <c r="G101" s="738"/>
      <c r="H101" s="738"/>
      <c r="I101" s="738"/>
      <c r="J101" s="738"/>
      <c r="K101" s="738"/>
      <c r="L101" s="738"/>
      <c r="M101" s="86"/>
    </row>
    <row r="102" spans="2:13" ht="12.75">
      <c r="B102" s="86"/>
      <c r="C102" s="738"/>
      <c r="D102" s="738"/>
      <c r="E102" s="738"/>
      <c r="F102" s="738"/>
      <c r="G102" s="738"/>
      <c r="H102" s="738"/>
      <c r="I102" s="738"/>
      <c r="J102" s="738"/>
      <c r="K102" s="738"/>
      <c r="L102" s="738"/>
      <c r="M102" s="86"/>
    </row>
    <row r="103" spans="2:13" ht="12.75">
      <c r="B103" s="86"/>
      <c r="C103" s="5"/>
      <c r="D103" s="5"/>
      <c r="E103" s="5"/>
      <c r="F103" s="5"/>
      <c r="G103" s="5"/>
      <c r="H103" s="5"/>
      <c r="I103" s="5"/>
      <c r="J103" s="5"/>
      <c r="K103" s="5"/>
      <c r="L103" s="5"/>
      <c r="M103" s="86"/>
    </row>
    <row r="104" spans="2:17" ht="12.75">
      <c r="B104" s="86"/>
      <c r="C104" s="779" t="str">
        <f>HYPERLINK(Q104,Translations!$B$336)</f>
        <v>&lt;&lt;&lt; Cliquer ici pour passer à la feuille suivante &gt;&gt;&gt; </v>
      </c>
      <c r="D104" s="780"/>
      <c r="E104" s="780"/>
      <c r="F104" s="780"/>
      <c r="G104" s="780"/>
      <c r="H104" s="780"/>
      <c r="I104" s="780"/>
      <c r="J104" s="780"/>
      <c r="K104" s="780"/>
      <c r="L104" s="780"/>
      <c r="M104" s="780"/>
      <c r="N104" s="522"/>
      <c r="O104" s="423"/>
      <c r="P104" s="423"/>
      <c r="Q104" s="451" t="str">
        <f>$U$2</f>
        <v>#A_InstallationData!$D$6</v>
      </c>
    </row>
    <row r="105" spans="2:12" ht="12.75">
      <c r="B105" s="520"/>
      <c r="C105" s="523"/>
      <c r="D105" s="523"/>
      <c r="E105" s="523"/>
      <c r="F105" s="523"/>
      <c r="G105" s="523"/>
      <c r="H105" s="523"/>
      <c r="I105" s="523"/>
      <c r="J105" s="523"/>
      <c r="K105" s="523"/>
      <c r="L105" s="523"/>
    </row>
  </sheetData>
  <sheetProtection sheet="1" objects="1" scenarios="1" formatCells="0" formatColumns="0" formatRows="0"/>
  <mergeCells count="112">
    <mergeCell ref="D24:L24"/>
    <mergeCell ref="C104:M104"/>
    <mergeCell ref="Q4:R4"/>
    <mergeCell ref="S4:T4"/>
    <mergeCell ref="U4:V4"/>
    <mergeCell ref="W4:X4"/>
    <mergeCell ref="D16:L16"/>
    <mergeCell ref="D17:L17"/>
    <mergeCell ref="C15:L15"/>
    <mergeCell ref="C80:D80"/>
    <mergeCell ref="Q2:R2"/>
    <mergeCell ref="S2:T2"/>
    <mergeCell ref="U2:V2"/>
    <mergeCell ref="W2:X2"/>
    <mergeCell ref="Q3:R3"/>
    <mergeCell ref="S3:T3"/>
    <mergeCell ref="U3:V3"/>
    <mergeCell ref="W3:X3"/>
    <mergeCell ref="E80:L80"/>
    <mergeCell ref="C53:L53"/>
    <mergeCell ref="C78:D78"/>
    <mergeCell ref="E77:L77"/>
    <mergeCell ref="E78:L78"/>
    <mergeCell ref="C55:L55"/>
    <mergeCell ref="C61:L61"/>
    <mergeCell ref="C76:L76"/>
    <mergeCell ref="E65:H72"/>
    <mergeCell ref="C79:L79"/>
    <mergeCell ref="C87:L87"/>
    <mergeCell ref="C82:L82"/>
    <mergeCell ref="C85:L85"/>
    <mergeCell ref="C86:L86"/>
    <mergeCell ref="C83:L83"/>
    <mergeCell ref="C84:L84"/>
    <mergeCell ref="C102:L102"/>
    <mergeCell ref="C91:L91"/>
    <mergeCell ref="C92:L92"/>
    <mergeCell ref="C93:L93"/>
    <mergeCell ref="C94:L94"/>
    <mergeCell ref="C95:L95"/>
    <mergeCell ref="C96:L96"/>
    <mergeCell ref="C97:L97"/>
    <mergeCell ref="C99:L99"/>
    <mergeCell ref="C101:L101"/>
    <mergeCell ref="B2:B4"/>
    <mergeCell ref="I3:J3"/>
    <mergeCell ref="K3:L3"/>
    <mergeCell ref="E4:F4"/>
    <mergeCell ref="G4:H4"/>
    <mergeCell ref="I4:J4"/>
    <mergeCell ref="K4:L4"/>
    <mergeCell ref="G2:H2"/>
    <mergeCell ref="I2:J2"/>
    <mergeCell ref="K2:L2"/>
    <mergeCell ref="C3:D3"/>
    <mergeCell ref="C90:L90"/>
    <mergeCell ref="G3:H3"/>
    <mergeCell ref="E47:L47"/>
    <mergeCell ref="E48:L48"/>
    <mergeCell ref="C63:L63"/>
    <mergeCell ref="C75:L75"/>
    <mergeCell ref="C50:D50"/>
    <mergeCell ref="C51:D51"/>
    <mergeCell ref="C43:L43"/>
    <mergeCell ref="C44:D44"/>
    <mergeCell ref="C45:D45"/>
    <mergeCell ref="C46:D46"/>
    <mergeCell ref="C57:L57"/>
    <mergeCell ref="C58:L58"/>
    <mergeCell ref="C54:L54"/>
    <mergeCell ref="E44:L44"/>
    <mergeCell ref="E45:L45"/>
    <mergeCell ref="C100:L100"/>
    <mergeCell ref="C77:D77"/>
    <mergeCell ref="C98:L98"/>
    <mergeCell ref="C27:L27"/>
    <mergeCell ref="C32:L32"/>
    <mergeCell ref="C56:L56"/>
    <mergeCell ref="C31:L31"/>
    <mergeCell ref="E50:L50"/>
    <mergeCell ref="E51:L51"/>
    <mergeCell ref="C35:L35"/>
    <mergeCell ref="C36:L36"/>
    <mergeCell ref="C33:L33"/>
    <mergeCell ref="C49:D49"/>
    <mergeCell ref="C11:L11"/>
    <mergeCell ref="E40:L41"/>
    <mergeCell ref="E39:L39"/>
    <mergeCell ref="E38:L38"/>
    <mergeCell ref="C47:D47"/>
    <mergeCell ref="E46:L46"/>
    <mergeCell ref="C48:D48"/>
    <mergeCell ref="C29:L29"/>
    <mergeCell ref="C10:L10"/>
    <mergeCell ref="C12:L12"/>
    <mergeCell ref="C13:L13"/>
    <mergeCell ref="C14:L14"/>
    <mergeCell ref="C18:L18"/>
    <mergeCell ref="C19:L19"/>
    <mergeCell ref="C20:L20"/>
    <mergeCell ref="D23:L23"/>
    <mergeCell ref="D21:L21"/>
    <mergeCell ref="D22:L22"/>
    <mergeCell ref="E49:L49"/>
    <mergeCell ref="E2:F2"/>
    <mergeCell ref="E3:F3"/>
    <mergeCell ref="C6:K6"/>
    <mergeCell ref="C7:L7"/>
    <mergeCell ref="C4:D4"/>
    <mergeCell ref="C8:L8"/>
    <mergeCell ref="C34:L34"/>
    <mergeCell ref="C26:L26"/>
  </mergeCells>
  <hyperlinks>
    <hyperlink ref="E77" r:id="rId1" display="http://eur-lex.europa.eu/en/index.htm "/>
    <hyperlink ref="E78" r:id="rId2" display="http://ec.europa.eu/clima/policies/ets/index_en.htm"/>
    <hyperlink ref="C13:L13" r:id="rId3" display="http://ec.europa.eu/clima/documentation/ets/docs/decision_benchmarking_15_dec_en.pdf. "/>
    <hyperlink ref="C11:L11" r:id="rId4" display="http://ec.europa.eu/clima/documentation/ets/docs/decision_benchmarking_15_dec_en.pdf. "/>
    <hyperlink ref="C11" r:id="rId5" display="http://eur-lex.europa.eu/LexUriServ/LexUriServ.do?uri=CONSLEG:2003L0087:20090625:EN:PDF"/>
    <hyperlink ref="C13" r:id="rId6" display="http://eur-lex.europa.eu/LexUriServ/LexUriServ.do?uri=CONSLEG:2011D0278:20111117:EN:PDF "/>
    <hyperlink ref="E80" r:id="rId7" display="http://ec.europa.eu/clima/policies/ets/benchmarking/documentation_en.htm"/>
    <hyperlink ref="E80:L80" r:id="rId8" display="http://ec.europa.eu/clima/policies/ets/benchmarking/documentation_en.htm"/>
    <hyperlink ref="E2:F2" location="JUMP_Coverpage_Top" display="JUMP_Coverpage_Top"/>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9"/>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Z306"/>
  <sheetViews>
    <sheetView zoomScale="130" zoomScaleNormal="130" zoomScalePageLayoutView="0" workbookViewId="0" topLeftCell="A1">
      <pane ySplit="4" topLeftCell="A47" activePane="bottomLeft" state="frozen"/>
      <selection pane="topLeft" activeCell="F43" sqref="F43"/>
      <selection pane="bottomLeft" activeCell="H14" sqref="H14"/>
    </sheetView>
  </sheetViews>
  <sheetFormatPr defaultColWidth="9.140625" defaultRowHeight="12.75"/>
  <cols>
    <col min="1" max="1" width="5.140625" style="4" hidden="1" customWidth="1"/>
    <col min="2" max="2" width="2.7109375" style="522" customWidth="1"/>
    <col min="3" max="4" width="4.7109375" style="522" customWidth="1"/>
    <col min="5" max="14" width="12.7109375" style="522" customWidth="1"/>
    <col min="15" max="15" width="4.7109375" style="522" customWidth="1"/>
    <col min="16" max="16" width="59.7109375" style="522" hidden="1" customWidth="1"/>
    <col min="17" max="17" width="12.7109375" style="334" hidden="1" customWidth="1"/>
    <col min="18" max="26" width="11.421875" style="334" hidden="1" customWidth="1"/>
    <col min="27" max="16384" width="9.140625" style="522" customWidth="1"/>
  </cols>
  <sheetData>
    <row r="1" spans="1:26" s="4" customFormat="1" ht="13.5" hidden="1" thickBot="1">
      <c r="A1" s="4" t="s">
        <v>486</v>
      </c>
      <c r="P1" s="319" t="s">
        <v>486</v>
      </c>
      <c r="Q1" s="334" t="s">
        <v>486</v>
      </c>
      <c r="R1" s="334" t="s">
        <v>486</v>
      </c>
      <c r="S1" s="334" t="s">
        <v>486</v>
      </c>
      <c r="T1" s="334" t="s">
        <v>486</v>
      </c>
      <c r="U1" s="334" t="s">
        <v>486</v>
      </c>
      <c r="V1" s="334" t="s">
        <v>486</v>
      </c>
      <c r="W1" s="334" t="s">
        <v>486</v>
      </c>
      <c r="X1" s="334" t="s">
        <v>486</v>
      </c>
      <c r="Y1" s="334" t="s">
        <v>486</v>
      </c>
      <c r="Z1" s="334" t="s">
        <v>486</v>
      </c>
    </row>
    <row r="2" spans="2:26" ht="13.5" customHeight="1" thickBot="1">
      <c r="B2" s="913" t="str">
        <f>Translations!$B$337</f>
        <v>A. 
Données relatives à l'installation</v>
      </c>
      <c r="C2" s="914"/>
      <c r="D2" s="915"/>
      <c r="E2" s="201" t="str">
        <f>Translations!$B$276</f>
        <v>Zone de navigation:</v>
      </c>
      <c r="F2" s="199"/>
      <c r="G2" s="715" t="str">
        <f>Translations!$B$290</f>
        <v>Table des matières</v>
      </c>
      <c r="H2" s="702"/>
      <c r="I2" s="702" t="str">
        <f>HYPERLINK(U2,Translations!$B$291)</f>
        <v>Feuille précédente</v>
      </c>
      <c r="J2" s="702"/>
      <c r="K2" s="702" t="str">
        <f>HYPERLINK(W2,Translations!$B$277)</f>
        <v>Feuille suivante</v>
      </c>
      <c r="L2" s="702"/>
      <c r="M2" s="702" t="str">
        <f>HYPERLINK(Y2,Translations!$B$278)</f>
        <v>Résumé</v>
      </c>
      <c r="N2" s="709"/>
      <c r="O2" s="9"/>
      <c r="P2" s="9"/>
      <c r="Q2" s="441" t="s">
        <v>555</v>
      </c>
      <c r="R2" s="441"/>
      <c r="S2" s="704"/>
      <c r="T2" s="705"/>
      <c r="U2" s="706" t="str">
        <f>"#"&amp;ADDRESS(ROW(C6),COLUMN(C6),,,'b_Guidelines &amp; conditions'!O3)</f>
        <v>#'b_Guidelines &amp; conditions'!$C$6</v>
      </c>
      <c r="V2" s="705"/>
      <c r="W2" s="706" t="str">
        <f>"#"&amp;ADDRESS(ROW(C6),COLUMN(C6),,,B_InitialSituation!Q3)</f>
        <v>#B_InitialSituation!$C$6</v>
      </c>
      <c r="X2" s="705"/>
      <c r="Y2" s="706" t="str">
        <f>"#"&amp;ADDRESS(ROW(C6),COLUMN(C6),,,D_Summary!Q3)</f>
        <v>#D_Summary!$C$6</v>
      </c>
      <c r="Z2" s="707"/>
    </row>
    <row r="3" spans="2:26" ht="13.5" thickBot="1">
      <c r="B3" s="916"/>
      <c r="C3" s="917"/>
      <c r="D3" s="918"/>
      <c r="E3" s="702" t="str">
        <f>HYPERLINK(R3,Translations!$B$279)</f>
        <v>Début de feuille</v>
      </c>
      <c r="F3" s="750"/>
      <c r="G3" s="716" t="str">
        <f>HYPERLINK(S3,Translations!$B$342)</f>
        <v>Admissibilité</v>
      </c>
      <c r="H3" s="717"/>
      <c r="I3" s="752" t="str">
        <f>HYPERLINK(U3,Translations!$B$338)</f>
        <v>Code d'identification de l'installation</v>
      </c>
      <c r="J3" s="717"/>
      <c r="K3" s="752" t="str">
        <f>HYPERLINK(W3,Translations!$B$343)</f>
        <v>Connexions techniques</v>
      </c>
      <c r="L3" s="717"/>
      <c r="M3" s="752" t="str">
        <f>HYPERLINK(Y3,Translations!$B$1502)</f>
        <v>Installations concernées</v>
      </c>
      <c r="N3" s="717"/>
      <c r="O3" s="9"/>
      <c r="P3" s="9"/>
      <c r="Q3" s="499" t="str">
        <f ca="1">IF(ISERROR(CELL("filename",Q1)),"A_InstallationData",MID(CELL("filename",Q1),FIND("]",CELL("filename",Q1))+1,1024))</f>
        <v>A_InstallationData</v>
      </c>
      <c r="R3" s="500" t="str">
        <f>"#"&amp;ADDRESS(ROW(C6),COLUMN(C6))</f>
        <v>#$C$6</v>
      </c>
      <c r="S3" s="775" t="str">
        <f>"#"&amp;ADDRESS(ROW(C8),COLUMN(C8))</f>
        <v>#$C$8</v>
      </c>
      <c r="T3" s="776"/>
      <c r="U3" s="777" t="str">
        <f>"#"&amp;ADDRESS(ROW(C42),COLUMN(C42))</f>
        <v>#$C$42</v>
      </c>
      <c r="V3" s="776"/>
      <c r="W3" s="777" t="str">
        <f>"#"&amp;ADDRESS(ROW(JUMP_A_VI),COLUMN(JUMP_A_VI))</f>
        <v>#$C$147</v>
      </c>
      <c r="X3" s="776"/>
      <c r="Y3" s="777" t="str">
        <f>"#"&amp;ADDRESS(ROW(C199),COLUMN(C199))</f>
        <v>#$C$199</v>
      </c>
      <c r="Z3" s="778"/>
    </row>
    <row r="4" spans="2:26" ht="13.5" customHeight="1" thickBot="1">
      <c r="B4" s="919"/>
      <c r="C4" s="920"/>
      <c r="D4" s="921"/>
      <c r="E4" s="702" t="str">
        <f>HYPERLINK(R4,Translations!$B$280)</f>
        <v>Fin de feuille</v>
      </c>
      <c r="F4" s="702"/>
      <c r="G4" s="758"/>
      <c r="H4" s="759"/>
      <c r="I4" s="760"/>
      <c r="J4" s="759"/>
      <c r="K4" s="760"/>
      <c r="L4" s="759"/>
      <c r="M4" s="760"/>
      <c r="N4" s="759"/>
      <c r="O4" s="9"/>
      <c r="P4" s="9"/>
      <c r="Q4" s="441"/>
      <c r="R4" s="501" t="str">
        <f>"#"&amp;ADDRESS(ROW(JUMP_A_Bottom),COLUMN(JUMP_A_Bottom))</f>
        <v>#$D$274</v>
      </c>
      <c r="S4" s="781"/>
      <c r="T4" s="782"/>
      <c r="U4" s="783"/>
      <c r="V4" s="782"/>
      <c r="W4" s="783"/>
      <c r="X4" s="782"/>
      <c r="Y4" s="783"/>
      <c r="Z4" s="784"/>
    </row>
    <row r="5" spans="2:17" ht="12.75">
      <c r="B5" s="5"/>
      <c r="C5" s="6"/>
      <c r="D5" s="7"/>
      <c r="E5" s="7"/>
      <c r="F5" s="8"/>
      <c r="G5" s="8"/>
      <c r="H5" s="8"/>
      <c r="I5" s="5"/>
      <c r="J5" s="5"/>
      <c r="K5" s="5"/>
      <c r="L5" s="5"/>
      <c r="M5" s="9"/>
      <c r="N5" s="9"/>
      <c r="O5" s="9"/>
      <c r="P5" s="9"/>
      <c r="Q5" s="340"/>
    </row>
    <row r="6" spans="2:26" ht="25.5" customHeight="1">
      <c r="B6" s="5"/>
      <c r="C6" s="11" t="s">
        <v>346</v>
      </c>
      <c r="D6" s="718" t="str">
        <f>Translations!$B$1031</f>
        <v>Feuille «InstallationData» - INFORMATIONS GÉNÉRALES RELATIVES À LA PRÉSENTE DEMANDE</v>
      </c>
      <c r="E6" s="742"/>
      <c r="F6" s="742"/>
      <c r="G6" s="742"/>
      <c r="H6" s="742"/>
      <c r="I6" s="742"/>
      <c r="J6" s="742"/>
      <c r="K6" s="742"/>
      <c r="L6" s="742"/>
      <c r="M6" s="742"/>
      <c r="N6" s="742"/>
      <c r="O6" s="9"/>
      <c r="P6" s="9"/>
      <c r="Q6" s="341" t="s">
        <v>331</v>
      </c>
      <c r="R6" s="341" t="s">
        <v>331</v>
      </c>
      <c r="S6" s="341" t="s">
        <v>331</v>
      </c>
      <c r="T6" s="341" t="s">
        <v>331</v>
      </c>
      <c r="U6" s="341" t="s">
        <v>331</v>
      </c>
      <c r="V6" s="341" t="s">
        <v>331</v>
      </c>
      <c r="W6" s="341" t="s">
        <v>331</v>
      </c>
      <c r="X6" s="341" t="s">
        <v>331</v>
      </c>
      <c r="Y6" s="341" t="s">
        <v>331</v>
      </c>
      <c r="Z6" s="341" t="s">
        <v>331</v>
      </c>
    </row>
    <row r="7" spans="2:26" ht="12.75">
      <c r="B7" s="5"/>
      <c r="C7" s="5"/>
      <c r="D7" s="5"/>
      <c r="E7" s="5"/>
      <c r="F7" s="5"/>
      <c r="G7" s="5"/>
      <c r="H7" s="5"/>
      <c r="I7" s="5"/>
      <c r="J7" s="5"/>
      <c r="K7" s="5"/>
      <c r="L7" s="5"/>
      <c r="M7" s="9"/>
      <c r="N7" s="9"/>
      <c r="O7" s="9"/>
      <c r="P7" s="9"/>
      <c r="Q7" s="342" t="s">
        <v>170</v>
      </c>
      <c r="R7" s="342" t="s">
        <v>170</v>
      </c>
      <c r="S7" s="342" t="s">
        <v>170</v>
      </c>
      <c r="T7" s="342" t="s">
        <v>170</v>
      </c>
      <c r="U7" s="342" t="s">
        <v>170</v>
      </c>
      <c r="V7" s="342" t="s">
        <v>170</v>
      </c>
      <c r="W7" s="342" t="s">
        <v>170</v>
      </c>
      <c r="X7" s="342" t="s">
        <v>170</v>
      </c>
      <c r="Y7" s="342" t="s">
        <v>170</v>
      </c>
      <c r="Z7" s="342" t="s">
        <v>170</v>
      </c>
    </row>
    <row r="8" spans="1:26" s="524" customFormat="1" ht="18" customHeight="1">
      <c r="A8" s="371"/>
      <c r="B8" s="208"/>
      <c r="C8" s="316" t="s">
        <v>42</v>
      </c>
      <c r="D8" s="332" t="str">
        <f>Translations!$B$1503</f>
        <v>Confirmation de l'admissibilité</v>
      </c>
      <c r="E8" s="332"/>
      <c r="F8" s="332"/>
      <c r="G8" s="332"/>
      <c r="H8" s="332"/>
      <c r="I8" s="332"/>
      <c r="J8" s="332"/>
      <c r="K8" s="332"/>
      <c r="L8" s="332"/>
      <c r="M8" s="332"/>
      <c r="N8" s="332"/>
      <c r="O8" s="209"/>
      <c r="P8" s="209"/>
      <c r="Q8" s="363"/>
      <c r="R8" s="363"/>
      <c r="S8" s="363"/>
      <c r="T8" s="363"/>
      <c r="U8" s="363"/>
      <c r="V8" s="363"/>
      <c r="W8" s="363"/>
      <c r="X8" s="363"/>
      <c r="Y8" s="363"/>
      <c r="Z8" s="363"/>
    </row>
    <row r="9" spans="2:17" ht="4.5" customHeight="1" thickBot="1">
      <c r="B9" s="5"/>
      <c r="C9" s="5"/>
      <c r="D9" s="5"/>
      <c r="E9" s="5"/>
      <c r="F9" s="5"/>
      <c r="G9" s="5"/>
      <c r="H9" s="5"/>
      <c r="I9" s="5"/>
      <c r="J9" s="5"/>
      <c r="K9" s="5"/>
      <c r="L9" s="5"/>
      <c r="M9" s="9"/>
      <c r="N9" s="9"/>
      <c r="O9" s="9"/>
      <c r="P9" s="9"/>
      <c r="Q9" s="340"/>
    </row>
    <row r="10" spans="2:26" ht="12.75" customHeight="1">
      <c r="B10" s="16"/>
      <c r="C10" s="80"/>
      <c r="D10" s="79"/>
      <c r="E10" s="79"/>
      <c r="F10" s="79"/>
      <c r="G10" s="79"/>
      <c r="H10" s="79"/>
      <c r="I10" s="79"/>
      <c r="J10" s="79"/>
      <c r="K10" s="79"/>
      <c r="L10" s="79"/>
      <c r="M10" s="78"/>
      <c r="N10" s="78"/>
      <c r="O10" s="77"/>
      <c r="P10" s="18"/>
      <c r="Q10" s="441"/>
      <c r="R10" s="423"/>
      <c r="S10" s="423"/>
      <c r="T10" s="423"/>
      <c r="U10" s="423"/>
      <c r="V10" s="423"/>
      <c r="W10" s="423"/>
      <c r="X10" s="423"/>
      <c r="Y10" s="423"/>
      <c r="Z10" s="423"/>
    </row>
    <row r="11" spans="2:26" ht="12.75" customHeight="1">
      <c r="B11" s="16"/>
      <c r="C11" s="76"/>
      <c r="D11" s="193" t="s">
        <v>463</v>
      </c>
      <c r="E11" s="687" t="str">
        <f>Translations!$B$1518</f>
        <v>Demande de fusion, scission et transfert de parties d’installations?</v>
      </c>
      <c r="F11" s="789"/>
      <c r="G11" s="789"/>
      <c r="H11" s="789"/>
      <c r="I11" s="789"/>
      <c r="J11" s="789"/>
      <c r="K11" s="789"/>
      <c r="L11" s="789"/>
      <c r="M11" s="789"/>
      <c r="N11" s="789"/>
      <c r="O11" s="75"/>
      <c r="P11" s="215"/>
      <c r="S11" s="423"/>
      <c r="T11" s="423"/>
      <c r="U11" s="423"/>
      <c r="V11" s="423"/>
      <c r="W11" s="423"/>
      <c r="X11" s="423"/>
      <c r="Y11" s="423"/>
      <c r="Z11" s="423"/>
    </row>
    <row r="12" spans="2:26" ht="38.25" customHeight="1">
      <c r="B12" s="16"/>
      <c r="C12" s="76"/>
      <c r="D12" s="202"/>
      <c r="E12" s="788" t="str">
        <f>Translations!$B$1519</f>
        <v>Veuillez confirmer que la modification décrite dans la présente demande est due à une fusion, une scission ou un transfert de certaines parties d'installations uniquement. Ce faisant, vous confirmez également qu’il n’y a pas eu de modifications physiques et que la présente demande décrit exclusivement des modifications relatives aux limites de l’installation et aux autorisations existantes.</v>
      </c>
      <c r="F12" s="789"/>
      <c r="G12" s="789"/>
      <c r="H12" s="789"/>
      <c r="I12" s="789"/>
      <c r="J12" s="789"/>
      <c r="K12" s="789"/>
      <c r="L12" s="789"/>
      <c r="M12" s="789"/>
      <c r="N12" s="789"/>
      <c r="O12" s="75"/>
      <c r="P12" s="18"/>
      <c r="Q12" s="423"/>
      <c r="R12" s="423"/>
      <c r="S12" s="423"/>
      <c r="T12" s="423"/>
      <c r="U12" s="423"/>
      <c r="V12" s="423"/>
      <c r="W12" s="423"/>
      <c r="X12" s="423"/>
      <c r="Y12" s="423"/>
      <c r="Z12" s="423"/>
    </row>
    <row r="13" spans="2:26" ht="25.5" customHeight="1">
      <c r="B13" s="16"/>
      <c r="C13" s="76"/>
      <c r="D13" s="202"/>
      <c r="E13" s="785"/>
      <c r="F13" s="786"/>
      <c r="G13" s="786"/>
      <c r="H13" s="786"/>
      <c r="I13" s="786"/>
      <c r="J13" s="786"/>
      <c r="K13" s="786"/>
      <c r="L13" s="786"/>
      <c r="M13" s="786"/>
      <c r="N13" s="787"/>
      <c r="O13" s="411"/>
      <c r="P13" s="18"/>
      <c r="Q13" s="547" t="b">
        <f>E13&lt;&gt;""</f>
        <v>0</v>
      </c>
      <c r="R13" s="548" t="s">
        <v>547</v>
      </c>
      <c r="S13" s="423"/>
      <c r="T13" s="423"/>
      <c r="U13" s="423"/>
      <c r="V13" s="423"/>
      <c r="W13" s="423"/>
      <c r="X13" s="423"/>
      <c r="Y13" s="423"/>
      <c r="Z13" s="423"/>
    </row>
    <row r="14" spans="2:26" ht="12.75" customHeight="1">
      <c r="B14" s="16"/>
      <c r="C14" s="76"/>
      <c r="D14" s="193"/>
      <c r="E14" s="585"/>
      <c r="F14" s="408"/>
      <c r="G14" s="408"/>
      <c r="H14" s="408"/>
      <c r="I14" s="408"/>
      <c r="J14" s="408"/>
      <c r="K14" s="408"/>
      <c r="L14" s="408"/>
      <c r="M14" s="408"/>
      <c r="N14" s="408"/>
      <c r="O14" s="409"/>
      <c r="P14" s="18"/>
      <c r="Q14" s="423"/>
      <c r="R14" s="423"/>
      <c r="S14" s="423"/>
      <c r="T14" s="423"/>
      <c r="U14" s="423"/>
      <c r="V14" s="423"/>
      <c r="W14" s="423"/>
      <c r="X14" s="423"/>
      <c r="Y14" s="423"/>
      <c r="Z14" s="423"/>
    </row>
    <row r="15" spans="2:19" ht="12.75" customHeight="1">
      <c r="B15" s="5"/>
      <c r="C15" s="74"/>
      <c r="D15" s="193" t="s">
        <v>246</v>
      </c>
      <c r="E15" s="924" t="str">
        <f>Translations!$B$1588</f>
        <v>Situation pertinente en ce qui concerne la présente demande:</v>
      </c>
      <c r="F15" s="924"/>
      <c r="G15" s="924"/>
      <c r="H15" s="924"/>
      <c r="I15" s="924"/>
      <c r="J15" s="924"/>
      <c r="K15" s="925"/>
      <c r="L15" s="926"/>
      <c r="M15" s="926"/>
      <c r="N15" s="926"/>
      <c r="O15" s="73"/>
      <c r="P15" s="18"/>
      <c r="Q15" s="340"/>
      <c r="R15" s="343">
        <f>IF(L15="","",MATCH(L15,EUconst_MergerSplitOrTransfer,0))</f>
      </c>
      <c r="S15" s="548" t="s">
        <v>573</v>
      </c>
    </row>
    <row r="16" spans="2:17" ht="4.5" customHeight="1">
      <c r="B16" s="5"/>
      <c r="C16" s="74"/>
      <c r="D16" s="7"/>
      <c r="E16" s="7"/>
      <c r="F16" s="7"/>
      <c r="G16" s="7"/>
      <c r="H16" s="7"/>
      <c r="I16" s="7"/>
      <c r="J16" s="7"/>
      <c r="K16" s="7"/>
      <c r="L16" s="7"/>
      <c r="M16" s="23"/>
      <c r="N16" s="23"/>
      <c r="O16" s="73"/>
      <c r="P16" s="18"/>
      <c r="Q16" s="340"/>
    </row>
    <row r="17" spans="2:26" ht="12.75" customHeight="1" thickBot="1">
      <c r="B17" s="16"/>
      <c r="C17" s="76"/>
      <c r="D17" s="193"/>
      <c r="E17" s="585"/>
      <c r="F17" s="408"/>
      <c r="G17" s="408"/>
      <c r="H17" s="408"/>
      <c r="I17" s="408"/>
      <c r="J17" s="408"/>
      <c r="K17" s="408"/>
      <c r="L17" s="539" t="str">
        <f>Translations!$B$1572</f>
        <v>Jour</v>
      </c>
      <c r="M17" s="539" t="str">
        <f>Translations!$B$1573</f>
        <v>Mois</v>
      </c>
      <c r="N17" s="539" t="str">
        <f>Translations!$B$1574</f>
        <v>Année</v>
      </c>
      <c r="O17" s="409"/>
      <c r="P17" s="18"/>
      <c r="Q17" s="423"/>
      <c r="R17" s="423"/>
      <c r="S17" s="423"/>
      <c r="T17" s="423"/>
      <c r="U17" s="423"/>
      <c r="V17" s="423"/>
      <c r="W17" s="423"/>
      <c r="X17" s="423"/>
      <c r="Y17" s="423"/>
      <c r="Z17" s="423"/>
    </row>
    <row r="18" spans="2:26" ht="12.75" customHeight="1" thickBot="1">
      <c r="B18" s="16"/>
      <c r="C18" s="76"/>
      <c r="D18" s="193" t="s">
        <v>459</v>
      </c>
      <c r="E18" s="924" t="str">
        <f>Translations!$B$1520</f>
        <v>Date officielle à laquelle la fusion, la scission ou le transfert de parties d’installations a eu lieu?</v>
      </c>
      <c r="F18" s="924"/>
      <c r="G18" s="924"/>
      <c r="H18" s="924"/>
      <c r="I18" s="924"/>
      <c r="J18" s="924"/>
      <c r="K18" s="925"/>
      <c r="L18" s="538"/>
      <c r="M18" s="538"/>
      <c r="N18" s="538"/>
      <c r="O18" s="409"/>
      <c r="P18" s="18"/>
      <c r="Q18" s="540">
        <f>IF(X38,DATE(N18,IF(ISBLANK(M18),1,M18),IF(ISBLANK(L18),1,L18)),"")</f>
      </c>
      <c r="R18" s="443">
        <f>IF(N25="",2010,N25-1+IF(N26=TRUE,1,0))</f>
        <v>2010</v>
      </c>
      <c r="S18" s="440" t="s">
        <v>552</v>
      </c>
      <c r="T18" s="423"/>
      <c r="U18" s="423"/>
      <c r="V18" s="423"/>
      <c r="W18" s="423"/>
      <c r="X18" s="423"/>
      <c r="Y18" s="423"/>
      <c r="Z18" s="444" t="b">
        <f>CNTR_Merger&lt;&gt;TRUE</f>
        <v>1</v>
      </c>
    </row>
    <row r="19" spans="2:26" ht="4.5" customHeight="1">
      <c r="B19" s="16"/>
      <c r="C19" s="76"/>
      <c r="D19" s="407"/>
      <c r="E19" s="586"/>
      <c r="F19" s="408"/>
      <c r="G19" s="408"/>
      <c r="H19" s="408"/>
      <c r="I19" s="408"/>
      <c r="J19" s="408"/>
      <c r="K19" s="408"/>
      <c r="L19" s="408"/>
      <c r="M19" s="408"/>
      <c r="N19" s="408"/>
      <c r="O19" s="409"/>
      <c r="P19" s="18"/>
      <c r="Q19" s="423"/>
      <c r="R19" s="423"/>
      <c r="S19" s="423"/>
      <c r="T19" s="423"/>
      <c r="U19" s="423"/>
      <c r="V19" s="423"/>
      <c r="W19" s="423"/>
      <c r="X19" s="423"/>
      <c r="Y19" s="423"/>
      <c r="Z19" s="423"/>
    </row>
    <row r="20" spans="2:26" ht="12.75" customHeight="1">
      <c r="B20" s="16"/>
      <c r="C20" s="76"/>
      <c r="D20" s="193" t="s">
        <v>127</v>
      </c>
      <c r="E20" s="687" t="str">
        <f>Translations!$B$1576</f>
        <v>Année à partir de laquelle l'allocation va être modifiée</v>
      </c>
      <c r="F20" s="789"/>
      <c r="G20" s="789"/>
      <c r="H20" s="789"/>
      <c r="I20" s="789"/>
      <c r="J20" s="789"/>
      <c r="K20" s="789"/>
      <c r="L20" s="789"/>
      <c r="M20" s="789"/>
      <c r="N20" s="789"/>
      <c r="O20" s="409"/>
      <c r="P20" s="18"/>
      <c r="Q20" s="423"/>
      <c r="R20" s="423"/>
      <c r="S20" s="423"/>
      <c r="T20" s="423"/>
      <c r="U20" s="423"/>
      <c r="V20" s="423"/>
      <c r="W20" s="423"/>
      <c r="X20" s="423"/>
      <c r="Y20" s="423"/>
      <c r="Z20" s="423"/>
    </row>
    <row r="21" spans="2:26" ht="12.75" customHeight="1">
      <c r="B21" s="16"/>
      <c r="C21" s="76"/>
      <c r="D21" s="407"/>
      <c r="E21" s="788" t="str">
        <f>Translations!$B$1577</f>
        <v>En principe, l’allocation sera modifiée à compter de l’année suivant la fusion, la scission ou le transfert de certaines parties de l’installation. </v>
      </c>
      <c r="F21" s="789"/>
      <c r="G21" s="789"/>
      <c r="H21" s="789"/>
      <c r="I21" s="789"/>
      <c r="J21" s="789"/>
      <c r="K21" s="789"/>
      <c r="L21" s="789"/>
      <c r="M21" s="789"/>
      <c r="N21" s="789"/>
      <c r="O21" s="409"/>
      <c r="P21" s="18"/>
      <c r="Q21" s="423"/>
      <c r="R21" s="423"/>
      <c r="S21" s="423"/>
      <c r="T21" s="423"/>
      <c r="U21" s="423"/>
      <c r="V21" s="423"/>
      <c r="W21" s="423"/>
      <c r="X21" s="423"/>
      <c r="Y21" s="423"/>
      <c r="Z21" s="423"/>
    </row>
    <row r="22" spans="2:26" ht="25.5" customHeight="1">
      <c r="B22" s="16"/>
      <c r="C22" s="76"/>
      <c r="D22" s="407"/>
      <c r="E22" s="788" t="str">
        <f>Translations!$B$1578</f>
        <v>Cependant, si des quotas ont déjà été délivrés pour cette année, l’allocation ne sera modifiée qu'à partir de la deuxième année suivant la fusion, la scission ou le transfert de certaines parties de l’installation.</v>
      </c>
      <c r="F22" s="789"/>
      <c r="G22" s="789"/>
      <c r="H22" s="789"/>
      <c r="I22" s="789"/>
      <c r="J22" s="789"/>
      <c r="K22" s="789"/>
      <c r="L22" s="789"/>
      <c r="M22" s="789"/>
      <c r="N22" s="789"/>
      <c r="O22" s="409"/>
      <c r="P22" s="18"/>
      <c r="Q22" s="423"/>
      <c r="R22" s="423"/>
      <c r="S22" s="423"/>
      <c r="T22" s="423"/>
      <c r="U22" s="423"/>
      <c r="V22" s="423"/>
      <c r="W22" s="423"/>
      <c r="X22" s="423"/>
      <c r="Y22" s="423"/>
      <c r="Z22" s="423"/>
    </row>
    <row r="23" spans="2:26" ht="25.5" customHeight="1">
      <c r="B23" s="16"/>
      <c r="C23" s="76"/>
      <c r="D23" s="407"/>
      <c r="E23" s="788" t="str">
        <f>Translations!$B$1579</f>
        <v>Exemple: une scission a lieu en novembre 2014 et est déclarée en janvier 2015. L’allocation sera modifiée à partir de janvier 2015. Si la scission n’est déclarée qu'après la délivrance des quotas en 2015 (c’est-à-dire après le 28 février 2015), l’allocation sera modifiée à partir de 2016.</v>
      </c>
      <c r="F23" s="789"/>
      <c r="G23" s="789"/>
      <c r="H23" s="789"/>
      <c r="I23" s="789"/>
      <c r="J23" s="789"/>
      <c r="K23" s="789"/>
      <c r="L23" s="789"/>
      <c r="M23" s="789"/>
      <c r="N23" s="789"/>
      <c r="O23" s="409"/>
      <c r="P23" s="18"/>
      <c r="Q23" s="423"/>
      <c r="R23" s="423"/>
      <c r="S23" s="423"/>
      <c r="T23" s="423"/>
      <c r="U23" s="423"/>
      <c r="V23" s="423"/>
      <c r="W23" s="423"/>
      <c r="X23" s="423"/>
      <c r="Y23" s="423"/>
      <c r="Z23" s="423"/>
    </row>
    <row r="24" spans="2:26" ht="4.5" customHeight="1">
      <c r="B24" s="16"/>
      <c r="C24" s="76"/>
      <c r="D24" s="407"/>
      <c r="E24" s="797"/>
      <c r="F24" s="797"/>
      <c r="G24" s="797"/>
      <c r="H24" s="797"/>
      <c r="I24" s="797"/>
      <c r="J24" s="797"/>
      <c r="K24" s="797"/>
      <c r="L24" s="797"/>
      <c r="M24" s="797"/>
      <c r="N24" s="408"/>
      <c r="O24" s="409"/>
      <c r="P24" s="18"/>
      <c r="Q24" s="423"/>
      <c r="R24" s="423"/>
      <c r="S24" s="423"/>
      <c r="T24" s="423"/>
      <c r="U24" s="423"/>
      <c r="V24" s="423"/>
      <c r="W24" s="423"/>
      <c r="X24" s="423"/>
      <c r="Y24" s="423"/>
      <c r="Z24" s="423"/>
    </row>
    <row r="25" spans="2:26" ht="25.5" customHeight="1">
      <c r="B25" s="16"/>
      <c r="C25" s="76"/>
      <c r="D25" s="407"/>
      <c r="E25" s="546" t="s">
        <v>426</v>
      </c>
      <c r="F25" s="804" t="str">
        <f>Translations!$B$1580</f>
        <v>Année la plus proche à partir de laquelle l'allocation sera modifiée sur la base des informations communiquées au point b) ci-dessus.</v>
      </c>
      <c r="G25" s="805"/>
      <c r="H25" s="805"/>
      <c r="I25" s="805"/>
      <c r="J25" s="805"/>
      <c r="K25" s="805"/>
      <c r="L25" s="805"/>
      <c r="M25" s="806"/>
      <c r="N25" s="541">
        <f>IF(N18="","",N18+1)</f>
      </c>
      <c r="O25" s="409"/>
      <c r="P25" s="18"/>
      <c r="Q25" s="423"/>
      <c r="R25" s="423"/>
      <c r="S25" s="423"/>
      <c r="T25" s="423"/>
      <c r="U25" s="423"/>
      <c r="V25" s="423"/>
      <c r="W25" s="423"/>
      <c r="X25" s="423"/>
      <c r="Y25" s="423"/>
      <c r="Z25" s="423"/>
    </row>
    <row r="26" spans="2:26" ht="12.75" customHeight="1">
      <c r="B26" s="16"/>
      <c r="C26" s="76"/>
      <c r="D26" s="407"/>
      <c r="E26" s="546" t="s">
        <v>427</v>
      </c>
      <c r="F26" s="798" t="str">
        <f>Translations!$B$1581</f>
        <v>Quotas déjà délivrés sur votre compte au cours de l’année indiquée au point i. ci-dessus?</v>
      </c>
      <c r="G26" s="799"/>
      <c r="H26" s="799"/>
      <c r="I26" s="799"/>
      <c r="J26" s="799"/>
      <c r="K26" s="799"/>
      <c r="L26" s="799"/>
      <c r="M26" s="800"/>
      <c r="N26" s="538"/>
      <c r="O26" s="409"/>
      <c r="P26" s="18"/>
      <c r="Q26" s="423"/>
      <c r="R26" s="423"/>
      <c r="S26" s="423"/>
      <c r="T26" s="423"/>
      <c r="U26" s="423"/>
      <c r="V26" s="423"/>
      <c r="W26" s="423"/>
      <c r="X26" s="423"/>
      <c r="Y26" s="423"/>
      <c r="Z26" s="423"/>
    </row>
    <row r="27" spans="2:26" ht="12.75" customHeight="1">
      <c r="B27" s="16"/>
      <c r="C27" s="76"/>
      <c r="D27" s="407"/>
      <c r="E27" s="546" t="s">
        <v>428</v>
      </c>
      <c r="F27" s="801" t="str">
        <f>Translations!$B$1582</f>
        <v>Résultat final: Année à partir de laquelle l'allocation sera modifiée</v>
      </c>
      <c r="G27" s="802"/>
      <c r="H27" s="802"/>
      <c r="I27" s="802"/>
      <c r="J27" s="802"/>
      <c r="K27" s="802"/>
      <c r="L27" s="802"/>
      <c r="M27" s="803"/>
      <c r="N27" s="541">
        <f>IF(N25="","",N25+IF(N26=TRUE,1,0))</f>
      </c>
      <c r="O27" s="409"/>
      <c r="P27" s="18"/>
      <c r="Q27" s="423"/>
      <c r="R27" s="423"/>
      <c r="S27" s="423"/>
      <c r="T27" s="423"/>
      <c r="U27" s="423"/>
      <c r="V27" s="423"/>
      <c r="W27" s="423"/>
      <c r="X27" s="423"/>
      <c r="Y27" s="423"/>
      <c r="Z27" s="423"/>
    </row>
    <row r="28" spans="2:26" ht="4.5" customHeight="1">
      <c r="B28" s="16"/>
      <c r="C28" s="76"/>
      <c r="D28" s="407"/>
      <c r="E28" s="586"/>
      <c r="F28" s="408"/>
      <c r="G28" s="408"/>
      <c r="H28" s="408"/>
      <c r="I28" s="408"/>
      <c r="J28" s="408"/>
      <c r="K28" s="408"/>
      <c r="L28" s="408"/>
      <c r="M28" s="408"/>
      <c r="N28" s="408"/>
      <c r="O28" s="409"/>
      <c r="P28" s="18"/>
      <c r="Q28" s="423"/>
      <c r="R28" s="423"/>
      <c r="S28" s="423"/>
      <c r="T28" s="423"/>
      <c r="U28" s="423"/>
      <c r="V28" s="423"/>
      <c r="W28" s="423"/>
      <c r="X28" s="423"/>
      <c r="Y28" s="423"/>
      <c r="Z28" s="423"/>
    </row>
    <row r="29" spans="2:26" ht="12.75" customHeight="1">
      <c r="B29" s="5"/>
      <c r="C29" s="74"/>
      <c r="D29" s="193" t="s">
        <v>460</v>
      </c>
      <c r="E29" s="687" t="str">
        <f>Translations!$B$1521</f>
        <v>Description de la fusion, de la scission ou du transfert</v>
      </c>
      <c r="F29" s="789"/>
      <c r="G29" s="789"/>
      <c r="H29" s="789"/>
      <c r="I29" s="789"/>
      <c r="J29" s="789"/>
      <c r="K29" s="789"/>
      <c r="L29" s="789"/>
      <c r="M29" s="789"/>
      <c r="N29" s="789"/>
      <c r="O29" s="410"/>
      <c r="P29" s="9"/>
      <c r="Q29" s="423"/>
      <c r="R29" s="423"/>
      <c r="S29" s="423"/>
      <c r="T29" s="423"/>
      <c r="U29" s="423"/>
      <c r="V29" s="423"/>
      <c r="W29" s="423"/>
      <c r="X29" s="423"/>
      <c r="Y29" s="423"/>
      <c r="Z29" s="423"/>
    </row>
    <row r="30" spans="2:26" ht="12.75" customHeight="1">
      <c r="B30" s="5"/>
      <c r="C30" s="74"/>
      <c r="D30" s="202"/>
      <c r="E30" s="788" t="str">
        <f>Translations!$B$1522</f>
        <v>Veuillez introduire ici une description succincte du contexte juridique conduisant à l’interprétation selon laquelle l’identification des installations devrait désormais être modifiée.</v>
      </c>
      <c r="F30" s="789"/>
      <c r="G30" s="789"/>
      <c r="H30" s="789"/>
      <c r="I30" s="789"/>
      <c r="J30" s="789"/>
      <c r="K30" s="789"/>
      <c r="L30" s="789"/>
      <c r="M30" s="789"/>
      <c r="N30" s="789"/>
      <c r="O30" s="410"/>
      <c r="P30" s="9"/>
      <c r="Q30" s="423"/>
      <c r="R30" s="423"/>
      <c r="S30" s="423"/>
      <c r="T30" s="423"/>
      <c r="U30" s="423"/>
      <c r="V30" s="423"/>
      <c r="W30" s="423"/>
      <c r="X30" s="423"/>
      <c r="Y30" s="423"/>
      <c r="Z30" s="423"/>
    </row>
    <row r="31" spans="2:26" ht="25.5" customHeight="1">
      <c r="B31" s="5"/>
      <c r="C31" s="74"/>
      <c r="D31" s="202"/>
      <c r="E31" s="788" t="str">
        <f>Translations!$B$1523</f>
        <v>Cette description doit préciser de quelle manière les installations concernées sont techniquement liées entre elles, à savoir unités physiques et connexions ainsi que chaleur mesurable, gaz résiduaires ou CO2 transférés de l’une vers l’autre.</v>
      </c>
      <c r="F31" s="789"/>
      <c r="G31" s="789"/>
      <c r="H31" s="789"/>
      <c r="I31" s="789"/>
      <c r="J31" s="789"/>
      <c r="K31" s="789"/>
      <c r="L31" s="789"/>
      <c r="M31" s="789"/>
      <c r="N31" s="789"/>
      <c r="O31" s="410"/>
      <c r="P31" s="412"/>
      <c r="Q31" s="423"/>
      <c r="R31" s="423"/>
      <c r="S31" s="423"/>
      <c r="T31" s="423"/>
      <c r="U31" s="423"/>
      <c r="V31" s="423"/>
      <c r="W31" s="423"/>
      <c r="X31" s="423"/>
      <c r="Y31" s="423"/>
      <c r="Z31" s="423"/>
    </row>
    <row r="32" spans="2:26" ht="54.75" customHeight="1">
      <c r="B32" s="5"/>
      <c r="C32" s="74"/>
      <c r="D32" s="7"/>
      <c r="E32" s="785"/>
      <c r="F32" s="786"/>
      <c r="G32" s="786"/>
      <c r="H32" s="786"/>
      <c r="I32" s="786"/>
      <c r="J32" s="786"/>
      <c r="K32" s="786"/>
      <c r="L32" s="786"/>
      <c r="M32" s="786"/>
      <c r="N32" s="787"/>
      <c r="O32" s="410"/>
      <c r="P32" s="9"/>
      <c r="Q32" s="423"/>
      <c r="R32" s="423"/>
      <c r="S32" s="423"/>
      <c r="T32" s="423"/>
      <c r="U32" s="423"/>
      <c r="V32" s="423"/>
      <c r="W32" s="423"/>
      <c r="X32" s="423"/>
      <c r="Y32" s="423"/>
      <c r="Z32" s="444" t="b">
        <f>CNTR_Merger&lt;&gt;TRUE</f>
        <v>1</v>
      </c>
    </row>
    <row r="33" spans="2:17" ht="4.5" customHeight="1">
      <c r="B33" s="5"/>
      <c r="C33" s="74"/>
      <c r="D33" s="7"/>
      <c r="E33" s="7"/>
      <c r="F33" s="7"/>
      <c r="G33" s="7"/>
      <c r="H33" s="7"/>
      <c r="I33" s="7"/>
      <c r="J33" s="7"/>
      <c r="K33" s="7"/>
      <c r="L33" s="7"/>
      <c r="M33" s="23"/>
      <c r="N33" s="23"/>
      <c r="O33" s="73"/>
      <c r="P33" s="23"/>
      <c r="Q33" s="340"/>
    </row>
    <row r="34" spans="2:16" ht="12.75">
      <c r="B34" s="18"/>
      <c r="C34" s="76"/>
      <c r="D34" s="193" t="s">
        <v>461</v>
      </c>
      <c r="E34" s="687" t="str">
        <f>Translations!$B$421</f>
        <v>Consentement pour l'utilisation des données contenues dans le présent fichier:</v>
      </c>
      <c r="F34" s="789"/>
      <c r="G34" s="789"/>
      <c r="H34" s="789"/>
      <c r="I34" s="789"/>
      <c r="J34" s="789"/>
      <c r="K34" s="789"/>
      <c r="L34" s="789"/>
      <c r="M34" s="789"/>
      <c r="N34" s="789"/>
      <c r="O34" s="75"/>
      <c r="P34" s="18"/>
    </row>
    <row r="35" spans="2:16" ht="51" customHeight="1">
      <c r="B35" s="18"/>
      <c r="C35" s="76"/>
      <c r="D35" s="18"/>
      <c r="E35" s="790" t="str">
        <f>Translations!$B$1053</f>
        <v>Les données contenues dans le présent fichier seront utilisées par l'autorité compétente pour déterminer la quantité de quotas à allouer à titre gratuit conformément à l'article 10 bis de la directive SEQE-UE ou toute autre modification apportée à la quantité fixée dans le cadre de décisions d'allocation précédentes. De plus, ces données seront notifiées à la Commission européenne en partie ou en totalité, conformément à l'article 24, paragraphe 2, des CIM.</v>
      </c>
      <c r="F35" s="790"/>
      <c r="G35" s="790"/>
      <c r="H35" s="790"/>
      <c r="I35" s="790"/>
      <c r="J35" s="790"/>
      <c r="K35" s="790"/>
      <c r="L35" s="790"/>
      <c r="M35" s="790"/>
      <c r="N35" s="790"/>
      <c r="O35" s="75"/>
      <c r="P35" s="18"/>
    </row>
    <row r="36" spans="2:25" ht="12.75">
      <c r="B36" s="18"/>
      <c r="C36" s="76"/>
      <c r="D36" s="18"/>
      <c r="E36" s="793"/>
      <c r="F36" s="794"/>
      <c r="G36" s="794"/>
      <c r="H36" s="794"/>
      <c r="I36" s="794"/>
      <c r="J36" s="794"/>
      <c r="K36" s="794"/>
      <c r="L36" s="794"/>
      <c r="M36" s="794"/>
      <c r="N36" s="795"/>
      <c r="O36" s="75"/>
      <c r="P36" s="18"/>
      <c r="X36" s="440" t="s">
        <v>569</v>
      </c>
      <c r="Y36" s="440" t="s">
        <v>570</v>
      </c>
    </row>
    <row r="37" spans="2:16" ht="4.5" customHeight="1">
      <c r="B37" s="18"/>
      <c r="C37" s="76"/>
      <c r="D37" s="18"/>
      <c r="E37" s="18"/>
      <c r="F37" s="18"/>
      <c r="G37" s="18"/>
      <c r="H37" s="18"/>
      <c r="I37" s="18"/>
      <c r="J37" s="18"/>
      <c r="K37" s="18"/>
      <c r="L37" s="18"/>
      <c r="M37" s="18"/>
      <c r="N37" s="18"/>
      <c r="O37" s="75"/>
      <c r="P37" s="18"/>
    </row>
    <row r="38" spans="2:25" ht="12.75">
      <c r="B38" s="18"/>
      <c r="C38" s="76"/>
      <c r="D38" s="18"/>
      <c r="E38" s="807">
        <f>IF(CNTR_HasEntries_A_I,IF(E36="",EUconst_ERR_Mandatory_g,""),"")</f>
      </c>
      <c r="F38" s="807"/>
      <c r="G38" s="807"/>
      <c r="H38" s="807"/>
      <c r="I38" s="807"/>
      <c r="J38" s="807"/>
      <c r="K38" s="807"/>
      <c r="L38" s="807"/>
      <c r="M38" s="807"/>
      <c r="N38" s="807"/>
      <c r="O38" s="75"/>
      <c r="P38" s="18"/>
      <c r="X38" s="343" t="b">
        <f>COUNTA(E13,L15,L18,M18,N18,N26,E32,E36)&gt;0</f>
        <v>0</v>
      </c>
      <c r="Y38" s="343" t="b">
        <f>AND(X38,OR(COUNTA(E13,L15,L18,M18,N18,N26,E32,E36)&lt;8,E38&lt;&gt;""))</f>
        <v>0</v>
      </c>
    </row>
    <row r="39" spans="2:17" ht="4.5" customHeight="1" thickBot="1">
      <c r="B39" s="5"/>
      <c r="C39" s="72"/>
      <c r="D39" s="71"/>
      <c r="E39" s="71"/>
      <c r="F39" s="71"/>
      <c r="G39" s="71"/>
      <c r="H39" s="71"/>
      <c r="I39" s="71"/>
      <c r="J39" s="71"/>
      <c r="K39" s="71"/>
      <c r="L39" s="71"/>
      <c r="M39" s="70"/>
      <c r="N39" s="70"/>
      <c r="O39" s="69"/>
      <c r="P39" s="18"/>
      <c r="Q39" s="340"/>
    </row>
    <row r="40" spans="2:16" ht="12.75">
      <c r="B40" s="18"/>
      <c r="C40" s="18"/>
      <c r="D40" s="18"/>
      <c r="E40" s="18"/>
      <c r="F40" s="18"/>
      <c r="G40" s="18"/>
      <c r="H40" s="18"/>
      <c r="I40" s="18"/>
      <c r="J40" s="18"/>
      <c r="K40" s="18"/>
      <c r="L40" s="18"/>
      <c r="M40" s="18"/>
      <c r="N40" s="18"/>
      <c r="O40" s="18"/>
      <c r="P40" s="18"/>
    </row>
    <row r="41" spans="2:26" ht="25.5" customHeight="1">
      <c r="B41" s="5"/>
      <c r="C41" s="5"/>
      <c r="D41" s="5"/>
      <c r="E41" s="5"/>
      <c r="F41" s="5"/>
      <c r="G41" s="5"/>
      <c r="H41" s="5"/>
      <c r="I41" s="5"/>
      <c r="J41" s="5"/>
      <c r="K41" s="5"/>
      <c r="L41" s="5"/>
      <c r="M41" s="9"/>
      <c r="N41" s="9"/>
      <c r="O41" s="9"/>
      <c r="P41" s="18"/>
      <c r="Q41" s="366"/>
      <c r="R41" s="366"/>
      <c r="S41" s="366"/>
      <c r="T41" s="366"/>
      <c r="U41" s="366"/>
      <c r="V41" s="366"/>
      <c r="W41" s="366"/>
      <c r="X41" s="366"/>
      <c r="Y41" s="366"/>
      <c r="Z41" s="366"/>
    </row>
    <row r="42" spans="1:26" s="524" customFormat="1" ht="18" customHeight="1">
      <c r="A42" s="371"/>
      <c r="B42" s="208"/>
      <c r="C42" s="316" t="s">
        <v>73</v>
      </c>
      <c r="D42" s="332" t="str">
        <f>Translations!$B$344</f>
        <v>Identification de l'installation</v>
      </c>
      <c r="E42" s="332"/>
      <c r="F42" s="332"/>
      <c r="G42" s="332"/>
      <c r="H42" s="332"/>
      <c r="I42" s="332"/>
      <c r="J42" s="332"/>
      <c r="K42" s="332"/>
      <c r="L42" s="332"/>
      <c r="M42" s="332"/>
      <c r="N42" s="332"/>
      <c r="O42" s="209"/>
      <c r="P42" s="18"/>
      <c r="Q42" s="363"/>
      <c r="R42" s="363"/>
      <c r="S42" s="363"/>
      <c r="T42" s="363"/>
      <c r="U42" s="363"/>
      <c r="V42" s="363"/>
      <c r="W42" s="363"/>
      <c r="X42" s="363"/>
      <c r="Y42" s="363"/>
      <c r="Z42" s="363"/>
    </row>
    <row r="43" spans="2:17" ht="12.75" customHeight="1">
      <c r="B43" s="5"/>
      <c r="C43" s="5"/>
      <c r="D43" s="5"/>
      <c r="E43" s="5"/>
      <c r="F43" s="5"/>
      <c r="G43" s="5"/>
      <c r="H43" s="5"/>
      <c r="I43" s="5"/>
      <c r="J43" s="5"/>
      <c r="K43" s="5"/>
      <c r="L43" s="5"/>
      <c r="M43" s="9"/>
      <c r="N43" s="9"/>
      <c r="O43" s="9"/>
      <c r="P43" s="9"/>
      <c r="Q43" s="340"/>
    </row>
    <row r="44" spans="2:17" ht="25.5" customHeight="1">
      <c r="B44" s="5"/>
      <c r="C44" s="5"/>
      <c r="D44" s="792" t="str">
        <f>Translations!$B$1524</f>
        <v>Veuillez noter que toutes les données saisies ici doivent être des informations relatives à l’installation pour laquelle la présente demande est soumise APRÈS la fusion, la scission ou le transfert de certaines parties d'installations.</v>
      </c>
      <c r="E44" s="792"/>
      <c r="F44" s="792"/>
      <c r="G44" s="792"/>
      <c r="H44" s="792"/>
      <c r="I44" s="792"/>
      <c r="J44" s="792"/>
      <c r="K44" s="792"/>
      <c r="L44" s="792"/>
      <c r="M44" s="792"/>
      <c r="N44" s="792"/>
      <c r="O44" s="9"/>
      <c r="P44" s="9"/>
      <c r="Q44" s="340"/>
    </row>
    <row r="45" spans="2:17" ht="4.5" customHeight="1">
      <c r="B45" s="5"/>
      <c r="C45" s="5"/>
      <c r="D45" s="5"/>
      <c r="E45" s="5"/>
      <c r="F45" s="5"/>
      <c r="G45" s="5"/>
      <c r="H45" s="5"/>
      <c r="I45" s="5"/>
      <c r="J45" s="5"/>
      <c r="K45" s="5"/>
      <c r="L45" s="5"/>
      <c r="M45" s="9"/>
      <c r="N45" s="9"/>
      <c r="O45" s="9"/>
      <c r="P45" s="9"/>
      <c r="Q45" s="340"/>
    </row>
    <row r="46" spans="2:16" ht="15">
      <c r="B46" s="18"/>
      <c r="C46" s="16">
        <v>1</v>
      </c>
      <c r="D46" s="817" t="str">
        <f>Translations!$B$345</f>
        <v>Informations générales:</v>
      </c>
      <c r="E46" s="742"/>
      <c r="F46" s="742"/>
      <c r="G46" s="742"/>
      <c r="H46" s="742"/>
      <c r="I46" s="742"/>
      <c r="J46" s="742"/>
      <c r="K46" s="742"/>
      <c r="L46" s="742"/>
      <c r="M46" s="742"/>
      <c r="N46" s="742"/>
      <c r="O46" s="18"/>
      <c r="P46" s="18"/>
    </row>
    <row r="47" spans="2:17" ht="4.5" customHeight="1">
      <c r="B47" s="5"/>
      <c r="C47" s="5"/>
      <c r="D47" s="5"/>
      <c r="E47" s="5"/>
      <c r="F47" s="5"/>
      <c r="G47" s="5"/>
      <c r="H47" s="5"/>
      <c r="I47" s="5"/>
      <c r="J47" s="5"/>
      <c r="K47" s="5"/>
      <c r="L47" s="5"/>
      <c r="M47" s="9"/>
      <c r="N47" s="9"/>
      <c r="O47" s="9"/>
      <c r="P47" s="9"/>
      <c r="Q47" s="340"/>
    </row>
    <row r="48" spans="2:16" ht="12.75">
      <c r="B48" s="18"/>
      <c r="C48" s="18"/>
      <c r="D48" s="99" t="s">
        <v>463</v>
      </c>
      <c r="E48" s="743" t="str">
        <f>Translations!$B$346</f>
        <v>Dénomination de l'installation:</v>
      </c>
      <c r="F48" s="742"/>
      <c r="G48" s="742"/>
      <c r="H48" s="742"/>
      <c r="I48" s="818"/>
      <c r="J48" s="819"/>
      <c r="K48" s="820"/>
      <c r="L48" s="820"/>
      <c r="M48" s="820"/>
      <c r="N48" s="821"/>
      <c r="O48" s="18"/>
      <c r="P48" s="18"/>
    </row>
    <row r="49" spans="2:16" ht="12.75">
      <c r="B49" s="18"/>
      <c r="C49" s="18"/>
      <c r="D49" s="15"/>
      <c r="E49" s="791" t="str">
        <f>Translations!$B$347</f>
        <v>La dénomination doit être identique à celle utilisée pour la correspondance avec l'autorité compétente.</v>
      </c>
      <c r="F49" s="742"/>
      <c r="G49" s="742"/>
      <c r="H49" s="742"/>
      <c r="I49" s="742"/>
      <c r="J49" s="742"/>
      <c r="K49" s="742"/>
      <c r="L49" s="742"/>
      <c r="M49" s="742"/>
      <c r="N49" s="742"/>
      <c r="O49" s="18"/>
      <c r="P49" s="18"/>
    </row>
    <row r="50" spans="2:17" ht="4.5" customHeight="1">
      <c r="B50" s="5"/>
      <c r="C50" s="5"/>
      <c r="D50" s="5"/>
      <c r="E50" s="5"/>
      <c r="F50" s="5"/>
      <c r="G50" s="5"/>
      <c r="H50" s="5"/>
      <c r="I50" s="5"/>
      <c r="J50" s="5"/>
      <c r="K50" s="5"/>
      <c r="L50" s="5"/>
      <c r="M50" s="9"/>
      <c r="N50" s="9"/>
      <c r="O50" s="9"/>
      <c r="P50" s="9"/>
      <c r="Q50" s="340"/>
    </row>
    <row r="51" spans="2:16" ht="12.75">
      <c r="B51" s="18"/>
      <c r="C51" s="18"/>
      <c r="D51" s="99" t="s">
        <v>246</v>
      </c>
      <c r="E51" s="743" t="str">
        <f>Translations!$B$348</f>
        <v>État membre dans lequel l'installation est située:</v>
      </c>
      <c r="F51" s="742"/>
      <c r="G51" s="742"/>
      <c r="H51" s="742"/>
      <c r="I51" s="818"/>
      <c r="J51" s="819"/>
      <c r="K51" s="820"/>
      <c r="L51" s="820"/>
      <c r="M51" s="820"/>
      <c r="N51" s="821"/>
      <c r="O51" s="18"/>
      <c r="P51" s="18"/>
    </row>
    <row r="52" spans="2:16" ht="12.75">
      <c r="B52" s="18"/>
      <c r="C52" s="18"/>
      <c r="D52" s="15"/>
      <c r="E52" s="791" t="str">
        <f>Translations!$B$1032</f>
        <v>Par «État membre» il faut entendre les États participant au SEQE de l'UE, à savoir l'UE-27, la Croatie,  l'Islande, la Norvège et le Liechtenstein.</v>
      </c>
      <c r="F52" s="742"/>
      <c r="G52" s="742"/>
      <c r="H52" s="742"/>
      <c r="I52" s="742"/>
      <c r="J52" s="742"/>
      <c r="K52" s="742"/>
      <c r="L52" s="742"/>
      <c r="M52" s="742"/>
      <c r="N52" s="742"/>
      <c r="O52" s="18"/>
      <c r="P52" s="18"/>
    </row>
    <row r="53" spans="2:17" ht="4.5" customHeight="1">
      <c r="B53" s="5"/>
      <c r="C53" s="5"/>
      <c r="D53" s="5"/>
      <c r="E53" s="5"/>
      <c r="F53" s="5"/>
      <c r="G53" s="5"/>
      <c r="H53" s="5"/>
      <c r="I53" s="5"/>
      <c r="J53" s="5"/>
      <c r="K53" s="5"/>
      <c r="L53" s="5"/>
      <c r="M53" s="9"/>
      <c r="N53" s="9"/>
      <c r="O53" s="9"/>
      <c r="P53" s="9"/>
      <c r="Q53" s="340"/>
    </row>
    <row r="54" spans="2:16" ht="12.75">
      <c r="B54" s="18"/>
      <c r="C54" s="18"/>
      <c r="D54" s="99" t="s">
        <v>459</v>
      </c>
      <c r="E54" s="900" t="str">
        <f>Translations!$B$349</f>
        <v>Cette installation relevait-elle du SEQE de l'UE auparavant?</v>
      </c>
      <c r="F54" s="742"/>
      <c r="G54" s="742"/>
      <c r="H54" s="742"/>
      <c r="I54" s="818"/>
      <c r="J54" s="325"/>
      <c r="K54" s="18"/>
      <c r="L54" s="18"/>
      <c r="M54" s="18"/>
      <c r="N54" s="18"/>
      <c r="O54" s="18"/>
      <c r="P54" s="215"/>
    </row>
    <row r="55" spans="2:17" ht="4.5" customHeight="1">
      <c r="B55" s="5"/>
      <c r="C55" s="5"/>
      <c r="D55" s="5"/>
      <c r="E55" s="5"/>
      <c r="F55" s="5"/>
      <c r="G55" s="5"/>
      <c r="H55" s="5"/>
      <c r="I55" s="5"/>
      <c r="J55" s="5"/>
      <c r="K55" s="5"/>
      <c r="L55" s="5"/>
      <c r="M55" s="9"/>
      <c r="N55" s="9"/>
      <c r="O55" s="9"/>
      <c r="P55" s="9"/>
      <c r="Q55" s="340"/>
    </row>
    <row r="56" spans="2:16" ht="12.75">
      <c r="B56" s="18"/>
      <c r="C56" s="18"/>
      <c r="D56" s="99" t="s">
        <v>127</v>
      </c>
      <c r="E56" s="743" t="str">
        <f>Translations!$B$350</f>
        <v>Identificateur unique attribué par l'autorité compétente:</v>
      </c>
      <c r="F56" s="742"/>
      <c r="G56" s="742"/>
      <c r="H56" s="742"/>
      <c r="I56" s="818"/>
      <c r="J56" s="819"/>
      <c r="K56" s="820"/>
      <c r="L56" s="820"/>
      <c r="M56" s="820"/>
      <c r="N56" s="821"/>
      <c r="O56" s="18"/>
      <c r="P56" s="18"/>
    </row>
    <row r="57" spans="2:16" ht="25.5" customHeight="1">
      <c r="B57" s="18"/>
      <c r="C57" s="18"/>
      <c r="D57" s="18"/>
      <c r="E57" s="791" t="str">
        <f>Translations!$B$1033</f>
        <v>Il s'agit généralement du code d'identification utilisé (le cas échéant) pour le PNA II (plan national d'allocation de quotas) ou pour les NIM (mesures d'exécution nationales), ou de tout autre code d'identification utilisé par l'autorité compétente à des fins de correspondance.</v>
      </c>
      <c r="F57" s="742"/>
      <c r="G57" s="742"/>
      <c r="H57" s="742"/>
      <c r="I57" s="742"/>
      <c r="J57" s="742"/>
      <c r="K57" s="742"/>
      <c r="L57" s="742"/>
      <c r="M57" s="742"/>
      <c r="N57" s="742"/>
      <c r="O57" s="18"/>
      <c r="P57" s="18"/>
    </row>
    <row r="58" spans="2:16" ht="12.75" customHeight="1">
      <c r="B58" s="18"/>
      <c r="C58" s="18"/>
      <c r="D58" s="18"/>
      <c r="E58" s="791" t="str">
        <f>Translations!$B$1034</f>
        <v>Pour les nouvelles installations (les installations en site vierge), il est demandé aux exploitants de prendre contact avec l'autorité compétente pour obtenir ce code d'identification.</v>
      </c>
      <c r="F58" s="742"/>
      <c r="G58" s="742"/>
      <c r="H58" s="742"/>
      <c r="I58" s="742"/>
      <c r="J58" s="742"/>
      <c r="K58" s="742"/>
      <c r="L58" s="742"/>
      <c r="M58" s="742"/>
      <c r="N58" s="742"/>
      <c r="O58" s="18"/>
      <c r="P58" s="18"/>
    </row>
    <row r="59" spans="2:16" ht="12.75">
      <c r="B59" s="18"/>
      <c r="C59" s="18"/>
      <c r="D59" s="18"/>
      <c r="E59" s="791" t="str">
        <f>Translations!$B$351</f>
        <v>Les autorités compétentes doivent s'assurer qu'elles disposent  d'un identificateur unique avant de notifier toute donnée à la Commission européenne. </v>
      </c>
      <c r="F59" s="742"/>
      <c r="G59" s="742"/>
      <c r="H59" s="742"/>
      <c r="I59" s="742"/>
      <c r="J59" s="742"/>
      <c r="K59" s="742"/>
      <c r="L59" s="742"/>
      <c r="M59" s="742"/>
      <c r="N59" s="742"/>
      <c r="O59" s="18"/>
      <c r="P59" s="18"/>
    </row>
    <row r="60" spans="2:17" ht="4.5" customHeight="1">
      <c r="B60" s="5"/>
      <c r="C60" s="5"/>
      <c r="D60" s="5"/>
      <c r="E60" s="5"/>
      <c r="F60" s="5"/>
      <c r="G60" s="5"/>
      <c r="H60" s="5"/>
      <c r="I60" s="5"/>
      <c r="J60" s="5"/>
      <c r="K60" s="5"/>
      <c r="L60" s="5"/>
      <c r="M60" s="9"/>
      <c r="N60" s="9"/>
      <c r="O60" s="9"/>
      <c r="P60" s="9"/>
      <c r="Q60" s="340"/>
    </row>
    <row r="61" spans="2:16" ht="12.75">
      <c r="B61" s="18"/>
      <c r="C61" s="18"/>
      <c r="D61" s="99" t="s">
        <v>460</v>
      </c>
      <c r="E61" s="743" t="str">
        <f>Translations!$B$352</f>
        <v>Code d'identification de l'installation dans le registre:</v>
      </c>
      <c r="F61" s="742"/>
      <c r="G61" s="742"/>
      <c r="H61" s="742"/>
      <c r="I61" s="818"/>
      <c r="J61" s="832"/>
      <c r="K61" s="833"/>
      <c r="L61" s="833"/>
      <c r="M61" s="833"/>
      <c r="N61" s="834"/>
      <c r="O61" s="18"/>
      <c r="P61" s="18"/>
    </row>
    <row r="62" spans="2:16" ht="12.75">
      <c r="B62" s="18"/>
      <c r="C62" s="18"/>
      <c r="D62" s="18"/>
      <c r="E62" s="791" t="str">
        <f>Translations!$B$353</f>
        <v>Il s'agit généralement d'un nombre naturel, c'est-à-dire d'un code différent de l'identificateur d'autorisation utilisé dans le registre.</v>
      </c>
      <c r="F62" s="742"/>
      <c r="G62" s="742"/>
      <c r="H62" s="742"/>
      <c r="I62" s="742"/>
      <c r="J62" s="742"/>
      <c r="K62" s="742"/>
      <c r="L62" s="742"/>
      <c r="M62" s="742"/>
      <c r="N62" s="742"/>
      <c r="O62" s="18"/>
      <c r="P62" s="18"/>
    </row>
    <row r="63" spans="2:17" ht="4.5" customHeight="1">
      <c r="B63" s="5"/>
      <c r="C63" s="5"/>
      <c r="D63" s="5"/>
      <c r="E63" s="5"/>
      <c r="F63" s="5"/>
      <c r="G63" s="5"/>
      <c r="H63" s="5"/>
      <c r="I63" s="5"/>
      <c r="J63" s="5"/>
      <c r="K63" s="5"/>
      <c r="L63" s="5"/>
      <c r="M63" s="9"/>
      <c r="N63" s="9"/>
      <c r="O63" s="9"/>
      <c r="P63" s="9"/>
      <c r="Q63" s="340"/>
    </row>
    <row r="64" spans="2:16" ht="12.75">
      <c r="B64" s="18"/>
      <c r="C64" s="18"/>
      <c r="D64" s="99" t="s">
        <v>461</v>
      </c>
      <c r="E64" s="743" t="str">
        <f>Translations!$B$354</f>
        <v>Identificateur unique proposé aux fins de la notification à la Commission:</v>
      </c>
      <c r="F64" s="742"/>
      <c r="G64" s="742"/>
      <c r="H64" s="742"/>
      <c r="I64" s="818"/>
      <c r="J64" s="836">
        <f>IF(AND(NOT(ISBLANK(J51)),NOT(ISBLANK(J54))),CONCATENATE(INDEX(EUconst_MSlistISOcodes,MATCH(J51,EUconst_MSlist,0)),IF(J54=TRUE,IF(ISNUMBER(J61),TEXT(J61,"000000000000000"),CONCATENATE("-existing-",IF(ISBLANK(J61),EUconst_Incomplete,J61),"-",IF(ISBLANK(J56),EUconst_Incomplete,J56))),CONCATENATE("-new-",IF(ISBLANK(J56),EUconst_Incomplete,J56),IF(ISBLANK(J61),"",CONCATENATE("-",J61))))),"")</f>
      </c>
      <c r="K64" s="837"/>
      <c r="L64" s="837"/>
      <c r="M64" s="837"/>
      <c r="N64" s="838"/>
      <c r="O64" s="18"/>
      <c r="P64" s="18"/>
    </row>
    <row r="65" spans="2:17" ht="4.5" customHeight="1">
      <c r="B65" s="5"/>
      <c r="C65" s="5"/>
      <c r="D65" s="5"/>
      <c r="E65" s="5"/>
      <c r="F65" s="5"/>
      <c r="G65" s="5"/>
      <c r="H65" s="5"/>
      <c r="I65" s="5"/>
      <c r="J65" s="5"/>
      <c r="K65" s="5"/>
      <c r="L65" s="5"/>
      <c r="M65" s="9"/>
      <c r="N65" s="9"/>
      <c r="O65" s="9"/>
      <c r="P65" s="9"/>
      <c r="Q65" s="340"/>
    </row>
    <row r="66" spans="2:16" ht="12.75">
      <c r="B66" s="18"/>
      <c r="C66" s="18"/>
      <c r="D66" s="99" t="s">
        <v>407</v>
      </c>
      <c r="E66" s="687">
        <f>Translations!$B$355</f>
        <v>0</v>
      </c>
      <c r="F66" s="789"/>
      <c r="G66" s="789"/>
      <c r="H66" s="789"/>
      <c r="I66" s="789"/>
      <c r="J66" s="742"/>
      <c r="K66" s="742"/>
      <c r="L66" s="742"/>
      <c r="M66" s="742"/>
      <c r="N66" s="742"/>
      <c r="O66" s="18"/>
      <c r="P66" s="18"/>
    </row>
    <row r="67" spans="2:16" ht="12.75">
      <c r="B67" s="18"/>
      <c r="C67" s="18"/>
      <c r="D67" s="18"/>
      <c r="E67" s="791">
        <f>Translations!$B$356</f>
        <v>0</v>
      </c>
      <c r="F67" s="742"/>
      <c r="G67" s="742"/>
      <c r="H67" s="742"/>
      <c r="I67" s="742"/>
      <c r="J67" s="742"/>
      <c r="K67" s="742"/>
      <c r="L67" s="742"/>
      <c r="M67" s="742"/>
      <c r="N67" s="742"/>
      <c r="O67" s="18"/>
      <c r="P67" s="18"/>
    </row>
    <row r="68" spans="2:16" ht="12.75">
      <c r="B68" s="18"/>
      <c r="C68" s="18"/>
      <c r="D68" s="18"/>
      <c r="E68" s="791">
        <f>Translations!$B$357</f>
        <v>0</v>
      </c>
      <c r="F68" s="742"/>
      <c r="G68" s="742"/>
      <c r="H68" s="742"/>
      <c r="I68" s="742"/>
      <c r="J68" s="742"/>
      <c r="K68" s="742"/>
      <c r="L68" s="742"/>
      <c r="M68" s="742"/>
      <c r="N68" s="742"/>
      <c r="O68" s="18"/>
      <c r="P68" s="18"/>
    </row>
    <row r="69" spans="2:16" ht="12.75">
      <c r="B69" s="18"/>
      <c r="C69" s="18"/>
      <c r="D69" s="102"/>
      <c r="E69" s="100"/>
      <c r="F69" s="774">
        <f>Translations!$B$358</f>
        <v>0</v>
      </c>
      <c r="G69" s="742"/>
      <c r="H69" s="742"/>
      <c r="I69" s="818"/>
      <c r="J69" s="819"/>
      <c r="K69" s="820"/>
      <c r="L69" s="820"/>
      <c r="M69" s="820"/>
      <c r="N69" s="821"/>
      <c r="O69" s="18"/>
      <c r="P69" s="18"/>
    </row>
    <row r="70" spans="2:17" ht="4.5" customHeight="1">
      <c r="B70" s="5"/>
      <c r="C70" s="5"/>
      <c r="D70" s="5"/>
      <c r="E70" s="5"/>
      <c r="F70" s="5"/>
      <c r="G70" s="5"/>
      <c r="H70" s="5"/>
      <c r="I70" s="5"/>
      <c r="J70" s="5"/>
      <c r="K70" s="5"/>
      <c r="L70" s="5"/>
      <c r="M70" s="9"/>
      <c r="N70" s="9"/>
      <c r="O70" s="9"/>
      <c r="P70" s="9"/>
      <c r="Q70" s="340"/>
    </row>
    <row r="71" spans="2:16" ht="12.75">
      <c r="B71" s="18"/>
      <c r="C71" s="18"/>
      <c r="D71" s="99"/>
      <c r="E71" s="100"/>
      <c r="F71" s="911">
        <f>Translations!$B$359</f>
        <v>0</v>
      </c>
      <c r="G71" s="745"/>
      <c r="H71" s="745"/>
      <c r="I71" s="745"/>
      <c r="J71" s="745"/>
      <c r="K71" s="745"/>
      <c r="L71" s="745"/>
      <c r="M71" s="745"/>
      <c r="N71" s="745"/>
      <c r="O71" s="18"/>
      <c r="P71" s="18"/>
    </row>
    <row r="72" spans="2:16" ht="12.75">
      <c r="B72" s="18"/>
      <c r="C72" s="18"/>
      <c r="D72" s="102"/>
      <c r="E72" s="190" t="s">
        <v>426</v>
      </c>
      <c r="F72" s="903">
        <f>Translations!$B$360</f>
        <v>0</v>
      </c>
      <c r="G72" s="904"/>
      <c r="H72" s="904"/>
      <c r="I72" s="905"/>
      <c r="J72" s="852"/>
      <c r="K72" s="853"/>
      <c r="L72" s="853"/>
      <c r="M72" s="853"/>
      <c r="N72" s="853"/>
      <c r="O72" s="18"/>
      <c r="P72" s="18"/>
    </row>
    <row r="73" spans="2:16" ht="12.75">
      <c r="B73" s="18"/>
      <c r="C73" s="18"/>
      <c r="D73" s="102"/>
      <c r="E73" s="190" t="s">
        <v>427</v>
      </c>
      <c r="F73" s="843">
        <f>Translations!$B$361</f>
        <v>0</v>
      </c>
      <c r="G73" s="844"/>
      <c r="H73" s="844"/>
      <c r="I73" s="845"/>
      <c r="J73" s="901"/>
      <c r="K73" s="902"/>
      <c r="L73" s="902"/>
      <c r="M73" s="902"/>
      <c r="N73" s="902"/>
      <c r="O73" s="18"/>
      <c r="P73" s="18"/>
    </row>
    <row r="74" spans="2:17" ht="4.5" customHeight="1">
      <c r="B74" s="5"/>
      <c r="C74" s="5"/>
      <c r="D74" s="5"/>
      <c r="E74" s="189"/>
      <c r="F74" s="5"/>
      <c r="G74" s="5"/>
      <c r="H74" s="5"/>
      <c r="I74" s="5"/>
      <c r="J74" s="5"/>
      <c r="K74" s="5"/>
      <c r="L74" s="5"/>
      <c r="M74" s="9"/>
      <c r="N74" s="9"/>
      <c r="O74" s="9"/>
      <c r="P74" s="9"/>
      <c r="Q74" s="340"/>
    </row>
    <row r="75" spans="2:16" ht="12.75">
      <c r="B75" s="18"/>
      <c r="C75" s="18"/>
      <c r="D75" s="99"/>
      <c r="E75" s="190"/>
      <c r="F75" s="912" t="str">
        <f>Translations!$B$1525</f>
        <v>Dernière mise à jour de l’autorisation:</v>
      </c>
      <c r="G75" s="745"/>
      <c r="H75" s="745"/>
      <c r="I75" s="745"/>
      <c r="J75" s="745"/>
      <c r="K75" s="745"/>
      <c r="L75" s="745"/>
      <c r="M75" s="745"/>
      <c r="N75" s="745"/>
      <c r="O75" s="18"/>
      <c r="P75" s="18"/>
    </row>
    <row r="76" spans="2:16" ht="12.75">
      <c r="B76" s="18"/>
      <c r="C76" s="18"/>
      <c r="D76" s="102"/>
      <c r="E76" s="190" t="s">
        <v>428</v>
      </c>
      <c r="F76" s="903">
        <f>Translations!$B$360</f>
        <v>0</v>
      </c>
      <c r="G76" s="904"/>
      <c r="H76" s="904"/>
      <c r="I76" s="905"/>
      <c r="J76" s="908"/>
      <c r="K76" s="909"/>
      <c r="L76" s="909"/>
      <c r="M76" s="909"/>
      <c r="N76" s="909"/>
      <c r="O76" s="18"/>
      <c r="P76" s="18"/>
    </row>
    <row r="77" spans="2:16" ht="12.75">
      <c r="B77" s="18"/>
      <c r="C77" s="18"/>
      <c r="D77" s="102"/>
      <c r="E77" s="190" t="s">
        <v>206</v>
      </c>
      <c r="F77" s="843">
        <f>Translations!$B$361</f>
        <v>0</v>
      </c>
      <c r="G77" s="844"/>
      <c r="H77" s="844"/>
      <c r="I77" s="845"/>
      <c r="J77" s="901"/>
      <c r="K77" s="902"/>
      <c r="L77" s="902"/>
      <c r="M77" s="902"/>
      <c r="N77" s="902"/>
      <c r="O77" s="18"/>
      <c r="P77" s="18"/>
    </row>
    <row r="78" spans="2:17" ht="4.5" customHeight="1">
      <c r="B78" s="5"/>
      <c r="C78" s="5"/>
      <c r="D78" s="5"/>
      <c r="E78" s="5"/>
      <c r="F78" s="5"/>
      <c r="G78" s="5"/>
      <c r="H78" s="5"/>
      <c r="I78" s="5"/>
      <c r="J78" s="5"/>
      <c r="K78" s="5"/>
      <c r="L78" s="5"/>
      <c r="M78" s="9"/>
      <c r="N78" s="9"/>
      <c r="O78" s="9"/>
      <c r="P78" s="18"/>
      <c r="Q78" s="340"/>
    </row>
    <row r="79" spans="2:16" ht="12.75">
      <c r="B79" s="18"/>
      <c r="C79" s="215"/>
      <c r="D79" s="14" t="s">
        <v>491</v>
      </c>
      <c r="E79" s="900" t="str">
        <f>Translations!$B$363</f>
        <v>Données relatives à l'exploitant:</v>
      </c>
      <c r="F79" s="742"/>
      <c r="G79" s="742"/>
      <c r="H79" s="742"/>
      <c r="I79" s="742"/>
      <c r="J79" s="742"/>
      <c r="K79" s="742"/>
      <c r="L79" s="742"/>
      <c r="M79" s="742"/>
      <c r="N79" s="742"/>
      <c r="O79" s="18"/>
      <c r="P79" s="18"/>
    </row>
    <row r="80" spans="2:16" ht="25.5" customHeight="1">
      <c r="B80" s="18"/>
      <c r="C80" s="18"/>
      <c r="D80" s="15"/>
      <c r="E80" s="796" t="str">
        <f>Translations!$B$364</f>
        <v>On entend par «exploitant toute personne [physique ou morale] qui exploite ou détient une installation, ou, si cela est prévu par la législation nationale, toute personne qui s'est vu déléguer à l'égard du fonctionnement technique de l'installation un pouvoir économique déterminant.</v>
      </c>
      <c r="F80" s="910"/>
      <c r="G80" s="910"/>
      <c r="H80" s="910"/>
      <c r="I80" s="910"/>
      <c r="J80" s="910"/>
      <c r="K80" s="910"/>
      <c r="L80" s="910"/>
      <c r="M80" s="910"/>
      <c r="N80" s="910"/>
      <c r="O80" s="18"/>
      <c r="P80" s="18"/>
    </row>
    <row r="81" spans="2:16" ht="12.75">
      <c r="B81" s="18"/>
      <c r="C81" s="18"/>
      <c r="D81" s="102"/>
      <c r="E81" s="100"/>
      <c r="F81" s="190" t="s">
        <v>426</v>
      </c>
      <c r="G81" s="903" t="str">
        <f>Translations!$B$365</f>
        <v>Nom de l’exploitant:</v>
      </c>
      <c r="H81" s="904"/>
      <c r="I81" s="905"/>
      <c r="J81" s="852"/>
      <c r="K81" s="853"/>
      <c r="L81" s="853"/>
      <c r="M81" s="853"/>
      <c r="N81" s="853"/>
      <c r="O81" s="18"/>
      <c r="P81" s="18"/>
    </row>
    <row r="82" spans="2:16" ht="12.75">
      <c r="B82" s="18"/>
      <c r="C82" s="18"/>
      <c r="D82" s="102"/>
      <c r="E82" s="100"/>
      <c r="F82" s="190" t="s">
        <v>427</v>
      </c>
      <c r="G82" s="814" t="str">
        <f>Translations!$B$366</f>
        <v>Rue, numéro:</v>
      </c>
      <c r="H82" s="815"/>
      <c r="I82" s="816"/>
      <c r="J82" s="812"/>
      <c r="K82" s="813"/>
      <c r="L82" s="813"/>
      <c r="M82" s="813"/>
      <c r="N82" s="813"/>
      <c r="O82" s="18"/>
      <c r="P82" s="18"/>
    </row>
    <row r="83" spans="2:16" ht="12.75">
      <c r="B83" s="18"/>
      <c r="C83" s="18"/>
      <c r="D83" s="102"/>
      <c r="E83" s="100"/>
      <c r="F83" s="190" t="s">
        <v>428</v>
      </c>
      <c r="G83" s="814" t="str">
        <f>Translations!$B$367</f>
        <v>Code postal:</v>
      </c>
      <c r="H83" s="815"/>
      <c r="I83" s="816"/>
      <c r="J83" s="812"/>
      <c r="K83" s="813"/>
      <c r="L83" s="813"/>
      <c r="M83" s="813"/>
      <c r="N83" s="813"/>
      <c r="O83" s="18"/>
      <c r="P83" s="18"/>
    </row>
    <row r="84" spans="2:16" ht="12.75">
      <c r="B84" s="18"/>
      <c r="C84" s="18"/>
      <c r="D84" s="102"/>
      <c r="E84" s="100"/>
      <c r="F84" s="190" t="s">
        <v>206</v>
      </c>
      <c r="G84" s="814" t="str">
        <f>Translations!$B$368</f>
        <v>Ville:</v>
      </c>
      <c r="H84" s="815"/>
      <c r="I84" s="816"/>
      <c r="J84" s="812"/>
      <c r="K84" s="813"/>
      <c r="L84" s="813"/>
      <c r="M84" s="813"/>
      <c r="N84" s="813"/>
      <c r="O84" s="18"/>
      <c r="P84" s="18"/>
    </row>
    <row r="85" spans="2:16" ht="12.75">
      <c r="B85" s="18"/>
      <c r="C85" s="18"/>
      <c r="D85" s="102"/>
      <c r="E85" s="100"/>
      <c r="F85" s="190" t="s">
        <v>142</v>
      </c>
      <c r="G85" s="814">
        <f>Translations!$B$369</f>
        <v>0</v>
      </c>
      <c r="H85" s="815"/>
      <c r="I85" s="816"/>
      <c r="J85" s="812"/>
      <c r="K85" s="813"/>
      <c r="L85" s="813"/>
      <c r="M85" s="813"/>
      <c r="N85" s="813"/>
      <c r="O85" s="18"/>
      <c r="P85" s="18"/>
    </row>
    <row r="86" spans="2:16" ht="12.75">
      <c r="B86" s="18"/>
      <c r="C86" s="18"/>
      <c r="D86" s="102"/>
      <c r="E86" s="100"/>
      <c r="F86" s="190" t="s">
        <v>143</v>
      </c>
      <c r="G86" s="814" t="str">
        <f>Translations!$B$370</f>
        <v>Nom du représentant autorisé:</v>
      </c>
      <c r="H86" s="815"/>
      <c r="I86" s="816"/>
      <c r="J86" s="812"/>
      <c r="K86" s="813"/>
      <c r="L86" s="813"/>
      <c r="M86" s="813"/>
      <c r="N86" s="813"/>
      <c r="O86" s="18"/>
      <c r="P86" s="18"/>
    </row>
    <row r="87" spans="2:16" ht="12.75">
      <c r="B87" s="18"/>
      <c r="C87" s="18"/>
      <c r="D87" s="102"/>
      <c r="E87" s="100"/>
      <c r="F87" s="190" t="s">
        <v>144</v>
      </c>
      <c r="G87" s="814" t="str">
        <f>Translations!$B$371</f>
        <v>Courrier électronique:</v>
      </c>
      <c r="H87" s="815"/>
      <c r="I87" s="816"/>
      <c r="J87" s="812"/>
      <c r="K87" s="813"/>
      <c r="L87" s="813"/>
      <c r="M87" s="813"/>
      <c r="N87" s="813"/>
      <c r="O87" s="18"/>
      <c r="P87" s="18"/>
    </row>
    <row r="88" spans="2:16" ht="12.75">
      <c r="B88" s="18"/>
      <c r="C88" s="18"/>
      <c r="D88" s="102"/>
      <c r="E88" s="100"/>
      <c r="F88" s="190" t="s">
        <v>145</v>
      </c>
      <c r="G88" s="814" t="str">
        <f>Translations!$B$372</f>
        <v>Téléphone:</v>
      </c>
      <c r="H88" s="815"/>
      <c r="I88" s="816"/>
      <c r="J88" s="812"/>
      <c r="K88" s="813"/>
      <c r="L88" s="813"/>
      <c r="M88" s="813"/>
      <c r="N88" s="813"/>
      <c r="O88" s="18"/>
      <c r="P88" s="18"/>
    </row>
    <row r="89" spans="2:16" ht="12.75">
      <c r="B89" s="18"/>
      <c r="C89" s="18"/>
      <c r="D89" s="102"/>
      <c r="E89" s="100"/>
      <c r="F89" s="190" t="s">
        <v>146</v>
      </c>
      <c r="G89" s="843" t="str">
        <f>Translations!$B$373</f>
        <v>Télécopieur:</v>
      </c>
      <c r="H89" s="844"/>
      <c r="I89" s="845"/>
      <c r="J89" s="901"/>
      <c r="K89" s="902"/>
      <c r="L89" s="902"/>
      <c r="M89" s="902"/>
      <c r="N89" s="902"/>
      <c r="O89" s="18"/>
      <c r="P89" s="18"/>
    </row>
    <row r="90" spans="2:17" ht="4.5" customHeight="1">
      <c r="B90" s="5"/>
      <c r="C90" s="5"/>
      <c r="D90" s="5"/>
      <c r="E90" s="5"/>
      <c r="F90" s="5"/>
      <c r="G90" s="5"/>
      <c r="H90" s="5"/>
      <c r="I90" s="5"/>
      <c r="J90" s="5"/>
      <c r="K90" s="5"/>
      <c r="L90" s="5"/>
      <c r="M90" s="9"/>
      <c r="N90" s="9"/>
      <c r="O90" s="9"/>
      <c r="P90" s="9"/>
      <c r="Q90" s="340"/>
    </row>
    <row r="91" spans="2:16" ht="12.75">
      <c r="B91" s="18"/>
      <c r="C91" s="18"/>
      <c r="D91" s="14" t="s">
        <v>492</v>
      </c>
      <c r="E91" s="900" t="str">
        <f>Translations!$B$374</f>
        <v>Adresse de l'installation:</v>
      </c>
      <c r="F91" s="742"/>
      <c r="G91" s="742"/>
      <c r="H91" s="742"/>
      <c r="I91" s="742"/>
      <c r="J91" s="742"/>
      <c r="K91" s="742"/>
      <c r="L91" s="742"/>
      <c r="M91" s="742"/>
      <c r="N91" s="742"/>
      <c r="O91" s="18"/>
      <c r="P91" s="18"/>
    </row>
    <row r="92" spans="2:16" ht="12.75">
      <c r="B92" s="18"/>
      <c r="C92" s="18"/>
      <c r="D92" s="102"/>
      <c r="E92" s="100"/>
      <c r="F92" s="190" t="s">
        <v>426</v>
      </c>
      <c r="G92" s="903" t="str">
        <f>Translations!$B$366</f>
        <v>Rue, numéro:</v>
      </c>
      <c r="H92" s="904"/>
      <c r="I92" s="905"/>
      <c r="J92" s="852"/>
      <c r="K92" s="853"/>
      <c r="L92" s="853"/>
      <c r="M92" s="853"/>
      <c r="N92" s="853"/>
      <c r="O92" s="18"/>
      <c r="P92" s="18"/>
    </row>
    <row r="93" spans="2:16" ht="12.75">
      <c r="B93" s="18"/>
      <c r="C93" s="18"/>
      <c r="D93" s="102"/>
      <c r="E93" s="100"/>
      <c r="F93" s="190" t="s">
        <v>427</v>
      </c>
      <c r="G93" s="814" t="str">
        <f>Translations!$B$367</f>
        <v>Code postal:</v>
      </c>
      <c r="H93" s="815"/>
      <c r="I93" s="816"/>
      <c r="J93" s="812"/>
      <c r="K93" s="813"/>
      <c r="L93" s="813"/>
      <c r="M93" s="813"/>
      <c r="N93" s="813"/>
      <c r="O93" s="18"/>
      <c r="P93" s="18"/>
    </row>
    <row r="94" spans="2:16" ht="12.75">
      <c r="B94" s="18"/>
      <c r="C94" s="18"/>
      <c r="D94" s="102"/>
      <c r="E94" s="100"/>
      <c r="F94" s="190" t="s">
        <v>428</v>
      </c>
      <c r="G94" s="814" t="str">
        <f>Translations!$B$368</f>
        <v>Ville:</v>
      </c>
      <c r="H94" s="815"/>
      <c r="I94" s="816"/>
      <c r="J94" s="812"/>
      <c r="K94" s="813"/>
      <c r="L94" s="813"/>
      <c r="M94" s="813"/>
      <c r="N94" s="813"/>
      <c r="O94" s="18"/>
      <c r="P94" s="18"/>
    </row>
    <row r="95" spans="2:16" ht="12.75">
      <c r="B95" s="18"/>
      <c r="C95" s="18"/>
      <c r="D95" s="102"/>
      <c r="E95" s="100"/>
      <c r="F95" s="190" t="s">
        <v>206</v>
      </c>
      <c r="G95" s="843">
        <f>Translations!$B$369</f>
        <v>0</v>
      </c>
      <c r="H95" s="844"/>
      <c r="I95" s="845"/>
      <c r="J95" s="901"/>
      <c r="K95" s="902"/>
      <c r="L95" s="902"/>
      <c r="M95" s="902"/>
      <c r="N95" s="902"/>
      <c r="O95" s="18"/>
      <c r="P95" s="18"/>
    </row>
    <row r="96" spans="2:17" ht="12.75" customHeight="1">
      <c r="B96" s="5"/>
      <c r="C96" s="5"/>
      <c r="D96" s="5"/>
      <c r="E96" s="5"/>
      <c r="F96" s="5"/>
      <c r="G96" s="5"/>
      <c r="H96" s="5"/>
      <c r="I96" s="5"/>
      <c r="J96" s="5"/>
      <c r="K96" s="5"/>
      <c r="L96" s="5"/>
      <c r="M96" s="9"/>
      <c r="N96" s="9"/>
      <c r="O96" s="9"/>
      <c r="P96" s="9"/>
      <c r="Q96" s="340"/>
    </row>
    <row r="97" spans="2:16" ht="15">
      <c r="B97" s="851"/>
      <c r="C97" s="16">
        <v>2</v>
      </c>
      <c r="D97" s="817" t="str">
        <f>Translations!$B$375</f>
        <v>Personnes à contacter:</v>
      </c>
      <c r="E97" s="742"/>
      <c r="F97" s="742"/>
      <c r="G97" s="742"/>
      <c r="H97" s="742"/>
      <c r="I97" s="742"/>
      <c r="J97" s="742"/>
      <c r="K97" s="742"/>
      <c r="L97" s="742"/>
      <c r="M97" s="742"/>
      <c r="N97" s="742"/>
      <c r="O97" s="18"/>
      <c r="P97" s="18"/>
    </row>
    <row r="98" spans="2:16" ht="25.5" customHeight="1">
      <c r="B98" s="851"/>
      <c r="C98" s="3"/>
      <c r="D98" s="18"/>
      <c r="E98" s="791" t="str">
        <f>Translations!$B$376</f>
        <v>Veuillez indiquer ici le nom des personnes à qui la DREAL pourrait éventuellement poser des questions au sujet de la présente déclaration, et notamment en ce qui concerne sa vérification.</v>
      </c>
      <c r="F98" s="742"/>
      <c r="G98" s="742"/>
      <c r="H98" s="742"/>
      <c r="I98" s="742"/>
      <c r="J98" s="742"/>
      <c r="K98" s="742"/>
      <c r="L98" s="742"/>
      <c r="M98" s="742"/>
      <c r="N98" s="742"/>
      <c r="O98" s="18"/>
      <c r="P98" s="18"/>
    </row>
    <row r="99" spans="2:17" ht="4.5" customHeight="1">
      <c r="B99" s="851"/>
      <c r="C99" s="17"/>
      <c r="D99" s="5"/>
      <c r="E99" s="5"/>
      <c r="F99" s="5"/>
      <c r="G99" s="5"/>
      <c r="H99" s="5"/>
      <c r="I99" s="5"/>
      <c r="J99" s="5"/>
      <c r="K99" s="5"/>
      <c r="L99" s="5"/>
      <c r="M99" s="9"/>
      <c r="N99" s="9"/>
      <c r="O99" s="9"/>
      <c r="P99" s="9"/>
      <c r="Q99" s="340"/>
    </row>
    <row r="100" spans="2:16" ht="12.75" customHeight="1">
      <c r="B100" s="851"/>
      <c r="C100" s="17"/>
      <c r="D100" s="99" t="s">
        <v>463</v>
      </c>
      <c r="E100" s="900" t="str">
        <f>Translations!$B$377</f>
        <v>Principale personne à consulter pour des questions techniques concernant les données relatives à l'installation:</v>
      </c>
      <c r="F100" s="742"/>
      <c r="G100" s="742"/>
      <c r="H100" s="742"/>
      <c r="I100" s="742"/>
      <c r="J100" s="742"/>
      <c r="K100" s="742"/>
      <c r="L100" s="742"/>
      <c r="M100" s="742"/>
      <c r="N100" s="742"/>
      <c r="O100" s="18"/>
      <c r="P100" s="18"/>
    </row>
    <row r="101" spans="2:16" ht="12.75" customHeight="1">
      <c r="B101" s="851"/>
      <c r="C101" s="17"/>
      <c r="D101" s="102"/>
      <c r="E101" s="100"/>
      <c r="F101" s="190" t="s">
        <v>426</v>
      </c>
      <c r="G101" s="903" t="str">
        <f>Translations!$B$378</f>
        <v>Nom:</v>
      </c>
      <c r="H101" s="904"/>
      <c r="I101" s="905"/>
      <c r="J101" s="852"/>
      <c r="K101" s="853"/>
      <c r="L101" s="853"/>
      <c r="M101" s="853"/>
      <c r="N101" s="853"/>
      <c r="O101" s="18"/>
      <c r="P101" s="18"/>
    </row>
    <row r="102" spans="2:16" ht="12.75" customHeight="1">
      <c r="B102" s="851"/>
      <c r="C102" s="17"/>
      <c r="D102" s="102"/>
      <c r="E102" s="100"/>
      <c r="F102" s="190" t="s">
        <v>427</v>
      </c>
      <c r="G102" s="814" t="str">
        <f>Translations!$B$371</f>
        <v>Courrier électronique:</v>
      </c>
      <c r="H102" s="815"/>
      <c r="I102" s="816"/>
      <c r="J102" s="812"/>
      <c r="K102" s="813"/>
      <c r="L102" s="813"/>
      <c r="M102" s="813"/>
      <c r="N102" s="813"/>
      <c r="O102" s="18"/>
      <c r="P102" s="18"/>
    </row>
    <row r="103" spans="2:16" ht="12.75" customHeight="1">
      <c r="B103" s="851"/>
      <c r="C103" s="17"/>
      <c r="D103" s="102"/>
      <c r="E103" s="100"/>
      <c r="F103" s="190" t="s">
        <v>428</v>
      </c>
      <c r="G103" s="814" t="str">
        <f>Translations!$B$372</f>
        <v>Téléphone:</v>
      </c>
      <c r="H103" s="815"/>
      <c r="I103" s="816"/>
      <c r="J103" s="812"/>
      <c r="K103" s="813"/>
      <c r="L103" s="813"/>
      <c r="M103" s="813"/>
      <c r="N103" s="813"/>
      <c r="O103" s="18"/>
      <c r="P103" s="18"/>
    </row>
    <row r="104" spans="2:16" ht="12.75" customHeight="1">
      <c r="B104" s="851"/>
      <c r="C104" s="17"/>
      <c r="D104" s="102"/>
      <c r="E104" s="100"/>
      <c r="F104" s="190" t="s">
        <v>206</v>
      </c>
      <c r="G104" s="843" t="str">
        <f>Translations!$B$373</f>
        <v>Télécopieur:</v>
      </c>
      <c r="H104" s="844"/>
      <c r="I104" s="845"/>
      <c r="J104" s="901"/>
      <c r="K104" s="902"/>
      <c r="L104" s="902"/>
      <c r="M104" s="902"/>
      <c r="N104" s="902"/>
      <c r="O104" s="18"/>
      <c r="P104" s="18"/>
    </row>
    <row r="105" spans="2:17" ht="4.5" customHeight="1">
      <c r="B105" s="851"/>
      <c r="C105" s="17"/>
      <c r="D105" s="5"/>
      <c r="E105" s="5"/>
      <c r="F105" s="5"/>
      <c r="G105" s="5"/>
      <c r="H105" s="5"/>
      <c r="I105" s="5"/>
      <c r="J105" s="5"/>
      <c r="K105" s="5"/>
      <c r="L105" s="5"/>
      <c r="M105" s="9"/>
      <c r="N105" s="9"/>
      <c r="O105" s="9"/>
      <c r="P105" s="9"/>
      <c r="Q105" s="340"/>
    </row>
    <row r="106" spans="2:16" ht="12.75" customHeight="1">
      <c r="B106" s="851"/>
      <c r="C106" s="17"/>
      <c r="D106" s="99" t="s">
        <v>246</v>
      </c>
      <c r="E106" s="900" t="str">
        <f>Translations!$B$379</f>
        <v>Autre personne à contacter:</v>
      </c>
      <c r="F106" s="742"/>
      <c r="G106" s="742"/>
      <c r="H106" s="742"/>
      <c r="I106" s="742"/>
      <c r="J106" s="742"/>
      <c r="K106" s="742"/>
      <c r="L106" s="742"/>
      <c r="M106" s="742"/>
      <c r="N106" s="742"/>
      <c r="O106" s="18"/>
      <c r="P106" s="18"/>
    </row>
    <row r="107" spans="2:16" ht="12.75" customHeight="1">
      <c r="B107" s="851"/>
      <c r="C107" s="17"/>
      <c r="D107" s="102"/>
      <c r="E107" s="100"/>
      <c r="F107" s="190" t="s">
        <v>426</v>
      </c>
      <c r="G107" s="903" t="str">
        <f>Translations!$B$378</f>
        <v>Nom:</v>
      </c>
      <c r="H107" s="904"/>
      <c r="I107" s="905"/>
      <c r="J107" s="908"/>
      <c r="K107" s="909"/>
      <c r="L107" s="909"/>
      <c r="M107" s="909"/>
      <c r="N107" s="909"/>
      <c r="O107" s="18"/>
      <c r="P107" s="18"/>
    </row>
    <row r="108" spans="2:16" ht="12.75" customHeight="1">
      <c r="B108" s="851"/>
      <c r="C108" s="17"/>
      <c r="D108" s="102"/>
      <c r="E108" s="100"/>
      <c r="F108" s="190" t="s">
        <v>427</v>
      </c>
      <c r="G108" s="814" t="str">
        <f>Translations!$B$371</f>
        <v>Courrier électronique:</v>
      </c>
      <c r="H108" s="815"/>
      <c r="I108" s="816"/>
      <c r="J108" s="846"/>
      <c r="K108" s="847"/>
      <c r="L108" s="847"/>
      <c r="M108" s="847"/>
      <c r="N108" s="847"/>
      <c r="O108" s="18"/>
      <c r="P108" s="18"/>
    </row>
    <row r="109" spans="2:16" ht="12.75" customHeight="1">
      <c r="B109" s="851"/>
      <c r="C109" s="17"/>
      <c r="D109" s="102"/>
      <c r="E109" s="100"/>
      <c r="F109" s="190" t="s">
        <v>428</v>
      </c>
      <c r="G109" s="814" t="str">
        <f>Translations!$B$372</f>
        <v>Téléphone:</v>
      </c>
      <c r="H109" s="815"/>
      <c r="I109" s="816"/>
      <c r="J109" s="846"/>
      <c r="K109" s="847"/>
      <c r="L109" s="847"/>
      <c r="M109" s="847"/>
      <c r="N109" s="847"/>
      <c r="O109" s="18"/>
      <c r="P109" s="18"/>
    </row>
    <row r="110" spans="2:16" ht="12.75" customHeight="1">
      <c r="B110" s="851"/>
      <c r="C110" s="17"/>
      <c r="D110" s="102"/>
      <c r="E110" s="100"/>
      <c r="F110" s="190" t="s">
        <v>206</v>
      </c>
      <c r="G110" s="843" t="str">
        <f>Translations!$B$373</f>
        <v>Télécopieur:</v>
      </c>
      <c r="H110" s="844"/>
      <c r="I110" s="845"/>
      <c r="J110" s="901"/>
      <c r="K110" s="902"/>
      <c r="L110" s="902"/>
      <c r="M110" s="902"/>
      <c r="N110" s="902"/>
      <c r="O110" s="18"/>
      <c r="P110" s="18"/>
    </row>
    <row r="111" spans="2:17" ht="12.75" customHeight="1">
      <c r="B111" s="5"/>
      <c r="C111" s="5"/>
      <c r="D111" s="5"/>
      <c r="E111" s="5"/>
      <c r="F111" s="5"/>
      <c r="G111" s="5"/>
      <c r="H111" s="5"/>
      <c r="I111" s="5"/>
      <c r="J111" s="5"/>
      <c r="K111" s="5"/>
      <c r="L111" s="5"/>
      <c r="M111" s="9"/>
      <c r="N111" s="9"/>
      <c r="O111" s="9"/>
      <c r="P111" s="9"/>
      <c r="Q111" s="340"/>
    </row>
    <row r="112" spans="2:16" ht="15">
      <c r="B112" s="851"/>
      <c r="C112" s="16">
        <v>3</v>
      </c>
      <c r="D112" s="817" t="str">
        <f>Translations!$B$391</f>
        <v>Autres données relatives à l'installation:</v>
      </c>
      <c r="E112" s="742"/>
      <c r="F112" s="742"/>
      <c r="G112" s="742"/>
      <c r="H112" s="742"/>
      <c r="I112" s="742"/>
      <c r="J112" s="742"/>
      <c r="K112" s="742"/>
      <c r="L112" s="742"/>
      <c r="M112" s="742"/>
      <c r="N112" s="742"/>
      <c r="O112" s="18"/>
      <c r="P112" s="18"/>
    </row>
    <row r="113" spans="2:17" ht="4.5" customHeight="1">
      <c r="B113" s="851"/>
      <c r="C113" s="5"/>
      <c r="D113" s="5"/>
      <c r="E113" s="5"/>
      <c r="F113" s="5"/>
      <c r="G113" s="5"/>
      <c r="H113" s="5"/>
      <c r="I113" s="5"/>
      <c r="J113" s="5"/>
      <c r="K113" s="5"/>
      <c r="L113" s="5"/>
      <c r="M113" s="9"/>
      <c r="N113" s="9"/>
      <c r="O113" s="9"/>
      <c r="P113" s="9"/>
      <c r="Q113" s="340"/>
    </row>
    <row r="114" spans="2:16" ht="15" customHeight="1">
      <c r="B114" s="851"/>
      <c r="C114" s="3"/>
      <c r="D114" s="99" t="s">
        <v>463</v>
      </c>
      <c r="E114" s="743" t="str">
        <f>Translations!$B$392</f>
        <v>Activités au sens de l'annexe I de la directive SEQE-UE:</v>
      </c>
      <c r="F114" s="742"/>
      <c r="G114" s="742"/>
      <c r="H114" s="742"/>
      <c r="I114" s="742"/>
      <c r="J114" s="742"/>
      <c r="K114" s="742"/>
      <c r="L114" s="742"/>
      <c r="M114" s="742"/>
      <c r="N114" s="742"/>
      <c r="O114" s="18"/>
      <c r="P114" s="18"/>
    </row>
    <row r="115" spans="2:16" ht="25.5" customHeight="1">
      <c r="B115" s="851"/>
      <c r="C115" s="17"/>
      <c r="D115" s="15"/>
      <c r="E115" s="791" t="str">
        <f>Translations!$B$393</f>
        <v>Dans la mesure du possible, veuillez classer les activités en fonction de leurs émissions directes, en commençant par l'activité produisant la quantité la plus élevée d'émissions directes.</v>
      </c>
      <c r="F115" s="742"/>
      <c r="G115" s="742"/>
      <c r="H115" s="742"/>
      <c r="I115" s="742"/>
      <c r="J115" s="742"/>
      <c r="K115" s="742"/>
      <c r="L115" s="742"/>
      <c r="M115" s="742"/>
      <c r="N115" s="742"/>
      <c r="O115" s="18"/>
      <c r="P115" s="18"/>
    </row>
    <row r="116" spans="2:17" ht="13.5" customHeight="1" thickBot="1">
      <c r="B116" s="851"/>
      <c r="C116" s="17"/>
      <c r="D116" s="102"/>
      <c r="E116" s="103">
        <f>Translations!$B$394</f>
        <v>0</v>
      </c>
      <c r="F116" s="104" t="str">
        <f>Translations!$B$395</f>
        <v>Dénomination de l'activité (annexe I de la directive SEQE-UE)</v>
      </c>
      <c r="G116" s="105"/>
      <c r="H116" s="106"/>
      <c r="I116" s="106"/>
      <c r="J116" s="107"/>
      <c r="K116" s="107"/>
      <c r="L116" s="107"/>
      <c r="M116" s="20"/>
      <c r="N116" s="20"/>
      <c r="O116" s="18"/>
      <c r="P116" s="18"/>
      <c r="Q116" s="334" t="s">
        <v>408</v>
      </c>
    </row>
    <row r="117" spans="2:17" ht="12.75" customHeight="1">
      <c r="B117" s="851"/>
      <c r="C117" s="17"/>
      <c r="D117" s="102"/>
      <c r="E117" s="379">
        <v>1</v>
      </c>
      <c r="F117" s="906"/>
      <c r="G117" s="907"/>
      <c r="H117" s="907"/>
      <c r="I117" s="907"/>
      <c r="J117" s="907"/>
      <c r="K117" s="907"/>
      <c r="L117" s="907"/>
      <c r="M117" s="907"/>
      <c r="N117" s="907"/>
      <c r="O117" s="18"/>
      <c r="P117" s="18"/>
      <c r="Q117" s="350">
        <f>IF(ISBLANK(F117),"",MATCH(F117,EUconst_AnnexIActivities,0))</f>
      </c>
    </row>
    <row r="118" spans="2:17" ht="12.75" customHeight="1">
      <c r="B118" s="851"/>
      <c r="C118" s="17"/>
      <c r="D118" s="102"/>
      <c r="E118" s="380">
        <f>E117+1</f>
        <v>2</v>
      </c>
      <c r="F118" s="810"/>
      <c r="G118" s="811"/>
      <c r="H118" s="811"/>
      <c r="I118" s="811"/>
      <c r="J118" s="811"/>
      <c r="K118" s="811"/>
      <c r="L118" s="811"/>
      <c r="M118" s="811"/>
      <c r="N118" s="811"/>
      <c r="O118" s="18"/>
      <c r="P118" s="18"/>
      <c r="Q118" s="351">
        <f>IF(ISBLANK(F118),"",MATCH(F118,EUconst_AnnexIActivities,0))</f>
      </c>
    </row>
    <row r="119" spans="2:17" ht="12.75" customHeight="1">
      <c r="B119" s="851"/>
      <c r="C119" s="17"/>
      <c r="D119" s="102"/>
      <c r="E119" s="380">
        <f>E118+1</f>
        <v>3</v>
      </c>
      <c r="F119" s="810"/>
      <c r="G119" s="811"/>
      <c r="H119" s="811"/>
      <c r="I119" s="811"/>
      <c r="J119" s="811"/>
      <c r="K119" s="811"/>
      <c r="L119" s="811"/>
      <c r="M119" s="811"/>
      <c r="N119" s="811"/>
      <c r="O119" s="18"/>
      <c r="P119" s="18"/>
      <c r="Q119" s="351">
        <f>IF(ISBLANK(F119),"",MATCH(F119,EUconst_AnnexIActivities,0))</f>
      </c>
    </row>
    <row r="120" spans="2:17" ht="12.75" customHeight="1">
      <c r="B120" s="851"/>
      <c r="C120" s="17"/>
      <c r="D120" s="102"/>
      <c r="E120" s="380">
        <f>E119+1</f>
        <v>4</v>
      </c>
      <c r="F120" s="810"/>
      <c r="G120" s="811"/>
      <c r="H120" s="811"/>
      <c r="I120" s="811"/>
      <c r="J120" s="811"/>
      <c r="K120" s="811"/>
      <c r="L120" s="811"/>
      <c r="M120" s="811"/>
      <c r="N120" s="811"/>
      <c r="O120" s="18"/>
      <c r="P120" s="18"/>
      <c r="Q120" s="351">
        <f>IF(ISBLANK(F120),"",MATCH(F120,EUconst_AnnexIActivities,0))</f>
      </c>
    </row>
    <row r="121" spans="2:17" ht="13.5" customHeight="1" thickBot="1">
      <c r="B121" s="851"/>
      <c r="C121" s="17"/>
      <c r="D121" s="102"/>
      <c r="E121" s="381">
        <f>E120+1</f>
        <v>5</v>
      </c>
      <c r="F121" s="922"/>
      <c r="G121" s="923"/>
      <c r="H121" s="923"/>
      <c r="I121" s="923"/>
      <c r="J121" s="923"/>
      <c r="K121" s="923"/>
      <c r="L121" s="923"/>
      <c r="M121" s="923"/>
      <c r="N121" s="923"/>
      <c r="O121" s="18"/>
      <c r="P121" s="18"/>
      <c r="Q121" s="352">
        <f>IF(ISBLANK(F121),"",MATCH(F121,EUconst_AnnexIActivities,0))</f>
      </c>
    </row>
    <row r="122" spans="2:16" ht="12.75" customHeight="1">
      <c r="B122" s="851"/>
      <c r="C122" s="17"/>
      <c r="D122" s="102"/>
      <c r="E122" s="100"/>
      <c r="F122" s="15"/>
      <c r="G122" s="15"/>
      <c r="H122" s="9"/>
      <c r="I122" s="9"/>
      <c r="J122" s="101"/>
      <c r="K122" s="101"/>
      <c r="L122" s="101"/>
      <c r="M122" s="18"/>
      <c r="N122" s="18"/>
      <c r="O122" s="18"/>
      <c r="P122" s="18"/>
    </row>
    <row r="123" spans="2:16" ht="12.75" customHeight="1">
      <c r="B123" s="851"/>
      <c r="C123" s="17"/>
      <c r="D123" s="99" t="s">
        <v>246</v>
      </c>
      <c r="E123" s="743" t="str">
        <f>Translations!$B$396</f>
        <v>Sous quel code NACE votre entreprise a-t-elle déclaré sa valeur ajoutée aux fins des statistiques structurelles sur les entreprises?</v>
      </c>
      <c r="F123" s="742"/>
      <c r="G123" s="742"/>
      <c r="H123" s="742"/>
      <c r="I123" s="742"/>
      <c r="J123" s="742"/>
      <c r="K123" s="742"/>
      <c r="L123" s="742"/>
      <c r="M123" s="742"/>
      <c r="N123" s="742"/>
      <c r="O123" s="18"/>
      <c r="P123" s="18"/>
    </row>
    <row r="124" spans="2:16" ht="12.75" customHeight="1">
      <c r="B124" s="851"/>
      <c r="C124" s="17"/>
      <c r="D124" s="15"/>
      <c r="E124" s="791" t="str">
        <f>Translations!$B$397</f>
        <v>Si vous n'êtes pas sûr des valeurs à indiquer ici, veuillez prendre contact avec l'insee.</v>
      </c>
      <c r="F124" s="742"/>
      <c r="G124" s="742"/>
      <c r="H124" s="742"/>
      <c r="I124" s="742"/>
      <c r="J124" s="742"/>
      <c r="K124" s="742"/>
      <c r="L124" s="742"/>
      <c r="M124" s="742"/>
      <c r="N124" s="742"/>
      <c r="O124" s="18"/>
      <c r="P124" s="18"/>
    </row>
    <row r="125" spans="2:16" ht="12.75" customHeight="1">
      <c r="B125" s="851"/>
      <c r="C125" s="17"/>
      <c r="D125" s="15"/>
      <c r="E125" s="791" t="str">
        <f>Translations!$B$398</f>
        <v>La NACE Rév. 1.1 peut être consultée à l'adresse suivante: </v>
      </c>
      <c r="F125" s="742"/>
      <c r="G125" s="742"/>
      <c r="H125" s="742"/>
      <c r="I125" s="742"/>
      <c r="J125" s="742"/>
      <c r="K125" s="742"/>
      <c r="L125" s="742"/>
      <c r="M125" s="742"/>
      <c r="N125" s="742"/>
      <c r="O125" s="18"/>
      <c r="P125" s="18"/>
    </row>
    <row r="126" spans="2:16" ht="12.75" customHeight="1">
      <c r="B126" s="851"/>
      <c r="C126" s="17"/>
      <c r="D126" s="15"/>
      <c r="E126" s="854" t="str">
        <f>Translations!$B$399</f>
        <v>http://ec.europa.eu/eurostat/ramon/nomenclatures/index.cfm?TargetUrl=LST_CLS_DLD&amp;StrNom=NACE_1_1&amp;StrLanguageCode=FR&amp;StrLayoutCode=HIERARCHIC</v>
      </c>
      <c r="F126" s="854"/>
      <c r="G126" s="854"/>
      <c r="H126" s="854"/>
      <c r="I126" s="854"/>
      <c r="J126" s="854"/>
      <c r="K126" s="854"/>
      <c r="L126" s="854"/>
      <c r="M126" s="854"/>
      <c r="N126" s="854"/>
      <c r="O126" s="18"/>
      <c r="P126" s="18"/>
    </row>
    <row r="127" spans="2:16" ht="12.75" customHeight="1">
      <c r="B127" s="851"/>
      <c r="C127" s="17"/>
      <c r="D127" s="15"/>
      <c r="E127" s="791" t="str">
        <f>Translations!$B$400</f>
        <v>La NACE Rév. 2.0 peut être consultée à l'adresse suivante: </v>
      </c>
      <c r="F127" s="742"/>
      <c r="G127" s="742"/>
      <c r="H127" s="742"/>
      <c r="I127" s="742"/>
      <c r="J127" s="742"/>
      <c r="K127" s="742"/>
      <c r="L127" s="742"/>
      <c r="M127" s="742"/>
      <c r="N127" s="742"/>
      <c r="O127" s="18"/>
      <c r="P127" s="18"/>
    </row>
    <row r="128" spans="2:16" ht="12.75" customHeight="1">
      <c r="B128" s="851"/>
      <c r="C128" s="17"/>
      <c r="D128" s="15"/>
      <c r="E128" s="854" t="str">
        <f>Translations!$B$401</f>
        <v>http://ec.europa.eu/eurostat/ramon/nomenclatures/index.cfm?TargetUrl=LST_CLS_DLD&amp;StrNom=NACE_REV2&amp;StrLanguageCode=FR&amp;StrLayoutCode=HIERARCHIC</v>
      </c>
      <c r="F128" s="854"/>
      <c r="G128" s="854"/>
      <c r="H128" s="854"/>
      <c r="I128" s="854"/>
      <c r="J128" s="854"/>
      <c r="K128" s="854"/>
      <c r="L128" s="854"/>
      <c r="M128" s="854"/>
      <c r="N128" s="854"/>
      <c r="O128" s="18"/>
      <c r="P128" s="18"/>
    </row>
    <row r="129" spans="2:16" ht="12.75" customHeight="1">
      <c r="B129" s="851"/>
      <c r="C129" s="17"/>
      <c r="D129" s="15"/>
      <c r="E129" s="808" t="str">
        <f>Translations!$B$402</f>
        <v>Le code à utiliser est le code NACE à 4 chiffres (nnnn), sans point ni autre séparateur.</v>
      </c>
      <c r="F129" s="809"/>
      <c r="G129" s="809"/>
      <c r="H129" s="809"/>
      <c r="I129" s="809"/>
      <c r="J129" s="809"/>
      <c r="K129" s="809"/>
      <c r="L129" s="809"/>
      <c r="M129" s="809"/>
      <c r="N129" s="809"/>
      <c r="O129" s="18"/>
      <c r="P129" s="18"/>
    </row>
    <row r="130" spans="2:16" ht="12.75" customHeight="1">
      <c r="B130" s="851"/>
      <c r="C130" s="17"/>
      <c r="D130" s="15"/>
      <c r="E130" s="791" t="str">
        <f>Translations!$B$403</f>
        <v>Vous verrez un message d'erreur apparaître si vous ne saisissez pas exactement 4 chiffres.</v>
      </c>
      <c r="F130" s="742"/>
      <c r="G130" s="742"/>
      <c r="H130" s="742"/>
      <c r="I130" s="742"/>
      <c r="J130" s="742"/>
      <c r="K130" s="742"/>
      <c r="L130" s="742"/>
      <c r="M130" s="742"/>
      <c r="N130" s="742"/>
      <c r="O130" s="18"/>
      <c r="P130" s="18"/>
    </row>
    <row r="131" spans="2:16" ht="12.75" customHeight="1">
      <c r="B131" s="851"/>
      <c r="C131" s="17"/>
      <c r="D131" s="102"/>
      <c r="E131" s="188" t="s">
        <v>426</v>
      </c>
      <c r="F131" s="774" t="str">
        <f>Translations!$B$404</f>
        <v>Code NACE notifié pour l'année 2007 selon la nomenclature NACE Rév. 1.1:</v>
      </c>
      <c r="G131" s="742"/>
      <c r="H131" s="742"/>
      <c r="I131" s="742"/>
      <c r="J131" s="742"/>
      <c r="K131" s="818"/>
      <c r="L131" s="197"/>
      <c r="M131" s="18"/>
      <c r="N131" s="18"/>
      <c r="O131" s="18"/>
      <c r="P131" s="18"/>
    </row>
    <row r="132" spans="2:16" ht="12.75" customHeight="1">
      <c r="B132" s="851"/>
      <c r="C132" s="17"/>
      <c r="D132" s="102"/>
      <c r="E132" s="188" t="s">
        <v>427</v>
      </c>
      <c r="F132" s="774" t="str">
        <f>Translations!$B$405</f>
        <v>Code NACE notifié pour l'année 2010 selon la nomenclature NACE Rév. 2:</v>
      </c>
      <c r="G132" s="742"/>
      <c r="H132" s="742"/>
      <c r="I132" s="742"/>
      <c r="J132" s="742"/>
      <c r="K132" s="818"/>
      <c r="L132" s="197"/>
      <c r="M132" s="18"/>
      <c r="N132" s="18"/>
      <c r="O132" s="18"/>
      <c r="P132" s="18"/>
    </row>
    <row r="133" spans="2:16" ht="12.75" customHeight="1">
      <c r="B133" s="851"/>
      <c r="C133" s="17"/>
      <c r="D133" s="102"/>
      <c r="E133" s="100"/>
      <c r="F133" s="15"/>
      <c r="G133" s="15"/>
      <c r="H133" s="9"/>
      <c r="I133" s="9"/>
      <c r="J133" s="101"/>
      <c r="K133" s="101"/>
      <c r="L133" s="101"/>
      <c r="M133" s="18"/>
      <c r="N133" s="18"/>
      <c r="O133" s="18"/>
      <c r="P133" s="18"/>
    </row>
    <row r="134" spans="2:16" ht="12.75">
      <c r="B134" s="851"/>
      <c r="C134" s="18"/>
      <c r="D134" s="99" t="s">
        <v>459</v>
      </c>
      <c r="E134" s="743">
        <f>Translations!$B$406</f>
        <v>0</v>
      </c>
      <c r="F134" s="742"/>
      <c r="G134" s="742"/>
      <c r="H134" s="742"/>
      <c r="I134" s="742"/>
      <c r="J134" s="742"/>
      <c r="K134" s="818"/>
      <c r="L134" s="848"/>
      <c r="M134" s="849"/>
      <c r="N134" s="850"/>
      <c r="O134" s="18"/>
      <c r="P134" s="18"/>
    </row>
    <row r="135" spans="2:16" ht="12.75">
      <c r="B135" s="851"/>
      <c r="C135" s="18"/>
      <c r="D135" s="15"/>
      <c r="E135" s="791">
        <f>Translations!$B$407</f>
        <v>0</v>
      </c>
      <c r="F135" s="742"/>
      <c r="G135" s="742"/>
      <c r="H135" s="742"/>
      <c r="I135" s="742"/>
      <c r="J135" s="742"/>
      <c r="K135" s="742"/>
      <c r="L135" s="742"/>
      <c r="M135" s="742"/>
      <c r="N135" s="742"/>
      <c r="O135" s="18"/>
      <c r="P135" s="18"/>
    </row>
    <row r="136" spans="2:16" ht="12.75">
      <c r="B136" s="851"/>
      <c r="C136" s="18"/>
      <c r="D136" s="15"/>
      <c r="E136" s="791">
        <f>Translations!$B$408</f>
        <v>0</v>
      </c>
      <c r="F136" s="742"/>
      <c r="G136" s="742"/>
      <c r="H136" s="742"/>
      <c r="I136" s="742"/>
      <c r="J136" s="742"/>
      <c r="K136" s="742"/>
      <c r="L136" s="742"/>
      <c r="M136" s="742"/>
      <c r="N136" s="742"/>
      <c r="O136" s="18"/>
      <c r="P136" s="18"/>
    </row>
    <row r="137" spans="2:17" ht="4.5" customHeight="1">
      <c r="B137" s="851"/>
      <c r="C137" s="5"/>
      <c r="D137" s="5"/>
      <c r="E137" s="5"/>
      <c r="F137" s="5"/>
      <c r="G137" s="5"/>
      <c r="H137" s="5"/>
      <c r="I137" s="5"/>
      <c r="J137" s="5"/>
      <c r="K137" s="5"/>
      <c r="L137" s="5"/>
      <c r="M137" s="9"/>
      <c r="N137" s="9"/>
      <c r="O137" s="9"/>
      <c r="P137" s="9"/>
      <c r="Q137" s="340"/>
    </row>
    <row r="138" spans="2:16" ht="12.75">
      <c r="B138" s="18"/>
      <c r="C138" s="18"/>
      <c r="D138" s="14" t="s">
        <v>127</v>
      </c>
      <c r="E138" s="743" t="str">
        <f>Translations!$B$422</f>
        <v>Installations ne fonctionnant qu'occasionnellement:</v>
      </c>
      <c r="F138" s="742"/>
      <c r="G138" s="742"/>
      <c r="H138" s="742"/>
      <c r="I138" s="742"/>
      <c r="J138" s="742"/>
      <c r="K138" s="742"/>
      <c r="L138" s="742"/>
      <c r="M138" s="742"/>
      <c r="N138" s="742"/>
      <c r="O138" s="18"/>
      <c r="P138" s="18"/>
    </row>
    <row r="139" spans="2:16" ht="12.75">
      <c r="B139" s="18"/>
      <c r="C139" s="18"/>
      <c r="D139" s="18"/>
      <c r="E139" s="791" t="str">
        <f>Translations!$B$423</f>
        <v>Il s'agit, entre autres, d'installations de réserve ou de secours et d'installations fonctionnant de façon saisonnière (article 9, paragraphe 8, des CIM).</v>
      </c>
      <c r="F139" s="742"/>
      <c r="G139" s="742"/>
      <c r="H139" s="742"/>
      <c r="I139" s="742"/>
      <c r="J139" s="742"/>
      <c r="K139" s="742"/>
      <c r="L139" s="742"/>
      <c r="M139" s="742"/>
      <c r="N139" s="742"/>
      <c r="O139" s="18"/>
      <c r="P139" s="18"/>
    </row>
    <row r="140" spans="2:16" ht="12.75">
      <c r="B140" s="18"/>
      <c r="C140" s="18"/>
      <c r="D140" s="18"/>
      <c r="E140" s="791" t="str">
        <f>Translations!$B$424</f>
        <v>Conditions:</v>
      </c>
      <c r="F140" s="742"/>
      <c r="G140" s="742"/>
      <c r="H140" s="742"/>
      <c r="I140" s="742"/>
      <c r="J140" s="742"/>
      <c r="K140" s="742"/>
      <c r="L140" s="742"/>
      <c r="M140" s="742"/>
      <c r="N140" s="742"/>
      <c r="O140" s="18"/>
      <c r="P140" s="18"/>
    </row>
    <row r="141" spans="2:16" ht="25.5" customHeight="1">
      <c r="B141" s="18"/>
      <c r="C141" s="18"/>
      <c r="D141" s="18"/>
      <c r="E141" s="67" t="s">
        <v>289</v>
      </c>
      <c r="F141" s="796" t="str">
        <f>Translations!$B$425</f>
        <v>il est clairement démontré que l'installation est utilisée occasionnellement, et en particulier qu'elle est exploitée régulièrement en tant que capacité de réserve ou de secours ou exploitée régulièrement de façon saisonnière;</v>
      </c>
      <c r="G141" s="796"/>
      <c r="H141" s="796"/>
      <c r="I141" s="796"/>
      <c r="J141" s="796"/>
      <c r="K141" s="796"/>
      <c r="L141" s="796"/>
      <c r="M141" s="796"/>
      <c r="N141" s="796"/>
      <c r="O141" s="18"/>
      <c r="P141" s="18"/>
    </row>
    <row r="142" spans="2:16" ht="12.75" customHeight="1">
      <c r="B142" s="18"/>
      <c r="C142" s="18"/>
      <c r="D142" s="18"/>
      <c r="E142" s="67" t="s">
        <v>289</v>
      </c>
      <c r="F142" s="796" t="str">
        <f>Translations!$B$426</f>
        <v>l'installation est titulaire d'une autorisation d'exploiter, </v>
      </c>
      <c r="G142" s="796"/>
      <c r="H142" s="796"/>
      <c r="I142" s="796"/>
      <c r="J142" s="796"/>
      <c r="K142" s="796"/>
      <c r="L142" s="796"/>
      <c r="M142" s="796"/>
      <c r="N142" s="796"/>
      <c r="O142" s="18"/>
      <c r="P142" s="18"/>
    </row>
    <row r="143" spans="2:16" ht="12.75">
      <c r="B143" s="18"/>
      <c r="C143" s="18"/>
      <c r="D143" s="18"/>
      <c r="E143" s="67" t="s">
        <v>289</v>
      </c>
      <c r="F143" s="796" t="str">
        <f>Translations!$B$427</f>
        <v>il est techniquement possible de démarrer l'exploitation à bref délai et la maintenance est effectuée régulièrement.</v>
      </c>
      <c r="G143" s="796"/>
      <c r="H143" s="796"/>
      <c r="I143" s="796"/>
      <c r="J143" s="796"/>
      <c r="K143" s="796"/>
      <c r="L143" s="796"/>
      <c r="M143" s="796"/>
      <c r="N143" s="796"/>
      <c r="O143" s="18"/>
      <c r="P143" s="18"/>
    </row>
    <row r="144" spans="2:16" ht="12.75">
      <c r="B144" s="18"/>
      <c r="C144" s="18"/>
      <c r="D144" s="18"/>
      <c r="E144" s="743" t="str">
        <f>Translations!$B$428</f>
        <v>Veuillez confirmer ici que votre installation remplit ces critères:</v>
      </c>
      <c r="F144" s="742"/>
      <c r="G144" s="742"/>
      <c r="H144" s="742"/>
      <c r="I144" s="742"/>
      <c r="J144" s="742"/>
      <c r="K144" s="742"/>
      <c r="L144" s="841"/>
      <c r="M144" s="842"/>
      <c r="N144" s="376">
        <f>IF(CNTR_HasEntries_A_II,IF(L144="",EUconst_Incomplete,""),"")</f>
      </c>
      <c r="O144" s="18"/>
      <c r="P144" s="18"/>
    </row>
    <row r="145" spans="2:16" ht="12.75">
      <c r="B145" s="18"/>
      <c r="C145" s="18"/>
      <c r="D145" s="102"/>
      <c r="E145" s="100"/>
      <c r="F145" s="15"/>
      <c r="G145" s="15"/>
      <c r="H145" s="9"/>
      <c r="I145" s="9"/>
      <c r="J145" s="101"/>
      <c r="K145" s="101"/>
      <c r="L145" s="101"/>
      <c r="M145" s="18"/>
      <c r="N145" s="18"/>
      <c r="O145" s="18"/>
      <c r="P145" s="18"/>
    </row>
    <row r="146" spans="2:16" ht="12.75">
      <c r="B146" s="18"/>
      <c r="C146" s="18"/>
      <c r="D146" s="18"/>
      <c r="E146" s="18"/>
      <c r="F146" s="18"/>
      <c r="G146" s="18"/>
      <c r="H146" s="18"/>
      <c r="I146" s="18"/>
      <c r="J146" s="18"/>
      <c r="K146" s="18"/>
      <c r="L146" s="18"/>
      <c r="M146" s="18"/>
      <c r="N146" s="18"/>
      <c r="O146" s="18"/>
      <c r="P146" s="18"/>
    </row>
    <row r="147" spans="1:26" s="524" customFormat="1" ht="18" customHeight="1">
      <c r="A147" s="4"/>
      <c r="B147" s="208"/>
      <c r="C147" s="316" t="s">
        <v>128</v>
      </c>
      <c r="D147" s="332" t="str">
        <f>Translations!$B$442</f>
        <v>Liste des connexions techniques</v>
      </c>
      <c r="E147" s="332"/>
      <c r="F147" s="332"/>
      <c r="G147" s="332"/>
      <c r="H147" s="332"/>
      <c r="I147" s="332"/>
      <c r="J147" s="332"/>
      <c r="K147" s="332"/>
      <c r="L147" s="332"/>
      <c r="M147" s="332"/>
      <c r="N147" s="332"/>
      <c r="O147" s="209"/>
      <c r="P147" s="209"/>
      <c r="Q147" s="363"/>
      <c r="R147" s="363"/>
      <c r="S147" s="363"/>
      <c r="T147" s="363"/>
      <c r="U147" s="363"/>
      <c r="V147" s="363"/>
      <c r="W147" s="363"/>
      <c r="X147" s="363"/>
      <c r="Y147" s="363"/>
      <c r="Z147" s="363"/>
    </row>
    <row r="148" spans="2:17" ht="4.5" customHeight="1">
      <c r="B148" s="5"/>
      <c r="C148" s="5"/>
      <c r="D148" s="5"/>
      <c r="E148" s="5"/>
      <c r="F148" s="5"/>
      <c r="G148" s="5"/>
      <c r="H148" s="5"/>
      <c r="I148" s="5"/>
      <c r="J148" s="5"/>
      <c r="K148" s="5"/>
      <c r="L148" s="5"/>
      <c r="M148" s="9"/>
      <c r="N148" s="9"/>
      <c r="O148" s="9"/>
      <c r="P148" s="9"/>
      <c r="Q148" s="340"/>
    </row>
    <row r="149" spans="2:16" ht="12.75">
      <c r="B149" s="18"/>
      <c r="C149" s="18"/>
      <c r="D149" s="99" t="s">
        <v>463</v>
      </c>
      <c r="E149" s="743" t="str">
        <f>Translations!$B$443</f>
        <v>Introduire les informations pertinentes pour l'identification des connexions techniques à votre installation:</v>
      </c>
      <c r="F149" s="742"/>
      <c r="G149" s="742"/>
      <c r="H149" s="742"/>
      <c r="I149" s="742"/>
      <c r="J149" s="742"/>
      <c r="K149" s="742"/>
      <c r="L149" s="742"/>
      <c r="M149" s="742"/>
      <c r="N149" s="742"/>
      <c r="O149" s="18"/>
      <c r="P149" s="18"/>
    </row>
    <row r="150" spans="2:16" ht="25.5" customHeight="1">
      <c r="B150" s="18"/>
      <c r="C150" s="18"/>
      <c r="D150" s="108"/>
      <c r="E150" s="796" t="str">
        <f>Translations!$B$444</f>
        <v>Ces informations sont nécessaires à l'administration  pour garantir la cohérence des données communiquées et pour éviter tout double comptage dans les données relatives à l'allocation.</v>
      </c>
      <c r="F150" s="721"/>
      <c r="G150" s="721"/>
      <c r="H150" s="721"/>
      <c r="I150" s="721"/>
      <c r="J150" s="721"/>
      <c r="K150" s="721"/>
      <c r="L150" s="721"/>
      <c r="M150" s="721"/>
      <c r="N150" s="721"/>
      <c r="O150" s="18"/>
      <c r="P150" s="18"/>
    </row>
    <row r="151" spans="2:16" ht="12.75" customHeight="1">
      <c r="B151" s="18"/>
      <c r="C151" s="18"/>
      <c r="D151" s="108"/>
      <c r="E151" s="796" t="str">
        <f>Translations!$B$445</f>
        <v>Seuls sont pertinents les cas dans lesquels la chaleur mesurable, les gaz résiduaires ou le CO2 dans le cadre des activités de CCS (CSC) franchissent les limites de l'installation.</v>
      </c>
      <c r="F151" s="721"/>
      <c r="G151" s="721"/>
      <c r="H151" s="721"/>
      <c r="I151" s="721"/>
      <c r="J151" s="721"/>
      <c r="K151" s="721"/>
      <c r="L151" s="721"/>
      <c r="M151" s="721"/>
      <c r="N151" s="721"/>
      <c r="O151" s="18"/>
      <c r="P151" s="18"/>
    </row>
    <row r="152" spans="2:16" ht="25.5" customHeight="1">
      <c r="B152" s="18"/>
      <c r="C152" s="18"/>
      <c r="D152" s="108"/>
      <c r="E152" s="796" t="str">
        <f>Translations!$B$446</f>
        <v>On entend ici par «importation" le fait que quelque chose entre dans les limites de l'installation à laquelle se rapporte la présente déclaration et par «exportation" le fait que quelque chose sorte de ces limites.</v>
      </c>
      <c r="F152" s="721"/>
      <c r="G152" s="721"/>
      <c r="H152" s="721"/>
      <c r="I152" s="721"/>
      <c r="J152" s="721"/>
      <c r="K152" s="721"/>
      <c r="L152" s="721"/>
      <c r="M152" s="721"/>
      <c r="N152" s="721"/>
      <c r="O152" s="18"/>
      <c r="P152" s="18"/>
    </row>
    <row r="153" spans="2:16" ht="12.75">
      <c r="B153" s="18"/>
      <c r="C153" s="18"/>
      <c r="D153" s="108"/>
      <c r="E153" s="796" t="str">
        <f>Translations!$B$447</f>
        <v>Les flux de matières et/ou d'énergie entre les sous-installations ne sont pas pertinents, à l'exception de la chaleur issue de la production d'acide nitrique.</v>
      </c>
      <c r="F153" s="721"/>
      <c r="G153" s="721"/>
      <c r="H153" s="721"/>
      <c r="I153" s="721"/>
      <c r="J153" s="721"/>
      <c r="K153" s="721"/>
      <c r="L153" s="721"/>
      <c r="M153" s="721"/>
      <c r="N153" s="721"/>
      <c r="O153" s="18"/>
      <c r="P153" s="18"/>
    </row>
    <row r="154" spans="2:16" ht="12.75">
      <c r="B154" s="18"/>
      <c r="C154" s="18"/>
      <c r="D154" s="108"/>
      <c r="E154" s="796" t="str">
        <f>Translations!$B$448</f>
        <v>Dans la colonne «Type d'entité", les options suivantes peuvent être sélectionnées:</v>
      </c>
      <c r="F154" s="721"/>
      <c r="G154" s="721"/>
      <c r="H154" s="721"/>
      <c r="I154" s="721"/>
      <c r="J154" s="721"/>
      <c r="K154" s="721"/>
      <c r="L154" s="721"/>
      <c r="M154" s="721"/>
      <c r="N154" s="721"/>
      <c r="O154" s="18"/>
      <c r="P154" s="18"/>
    </row>
    <row r="155" spans="2:16" ht="12.75">
      <c r="B155" s="18"/>
      <c r="C155" s="18"/>
      <c r="D155" s="108"/>
      <c r="E155" s="67" t="s">
        <v>289</v>
      </c>
      <c r="F155" s="791" t="str">
        <f>Translations!$B$20</f>
        <v>Installation relevant du SEQE</v>
      </c>
      <c r="G155" s="742"/>
      <c r="H155" s="742"/>
      <c r="I155" s="742"/>
      <c r="J155" s="742"/>
      <c r="K155" s="742"/>
      <c r="L155" s="742"/>
      <c r="M155" s="742"/>
      <c r="N155" s="742"/>
      <c r="O155" s="18"/>
      <c r="P155" s="18"/>
    </row>
    <row r="156" spans="2:16" ht="12.75">
      <c r="B156" s="18"/>
      <c r="C156" s="18"/>
      <c r="D156" s="108"/>
      <c r="E156" s="67" t="s">
        <v>289</v>
      </c>
      <c r="F156" s="791" t="str">
        <f>Translations!$B$21</f>
        <v>Installation ne relevant pas du SEQE</v>
      </c>
      <c r="G156" s="742"/>
      <c r="H156" s="742"/>
      <c r="I156" s="742"/>
      <c r="J156" s="742"/>
      <c r="K156" s="742"/>
      <c r="L156" s="742"/>
      <c r="M156" s="742"/>
      <c r="N156" s="742"/>
      <c r="O156" s="18"/>
      <c r="P156" s="18"/>
    </row>
    <row r="157" spans="2:16" ht="12.75">
      <c r="B157" s="18"/>
      <c r="C157" s="18"/>
      <c r="D157" s="108"/>
      <c r="E157" s="67" t="s">
        <v>289</v>
      </c>
      <c r="F157" s="791" t="str">
        <f>Translations!$B$22</f>
        <v>Installation produisant de l'acide nitrique</v>
      </c>
      <c r="G157" s="742"/>
      <c r="H157" s="742"/>
      <c r="I157" s="742"/>
      <c r="J157" s="742"/>
      <c r="K157" s="742"/>
      <c r="L157" s="742"/>
      <c r="M157" s="742"/>
      <c r="N157" s="742"/>
      <c r="O157" s="18"/>
      <c r="P157" s="18"/>
    </row>
    <row r="158" spans="2:16" ht="12.75">
      <c r="B158" s="18"/>
      <c r="C158" s="18"/>
      <c r="D158" s="108"/>
      <c r="E158" s="67" t="s">
        <v>289</v>
      </c>
      <c r="F158" s="791" t="str">
        <f>Translations!$B$23</f>
        <v>Réseaux de distribution de chaleur</v>
      </c>
      <c r="G158" s="742"/>
      <c r="H158" s="742"/>
      <c r="I158" s="742"/>
      <c r="J158" s="742"/>
      <c r="K158" s="742"/>
      <c r="L158" s="742"/>
      <c r="M158" s="742"/>
      <c r="N158" s="742"/>
      <c r="O158" s="18"/>
      <c r="P158" s="18"/>
    </row>
    <row r="159" spans="2:16" ht="12.75">
      <c r="B159" s="18"/>
      <c r="C159" s="18"/>
      <c r="D159" s="108"/>
      <c r="E159" s="792" t="str">
        <f>Translations!$B$449</f>
        <v>Cas particulier: Production d'acide nitrique</v>
      </c>
      <c r="F159" s="726"/>
      <c r="G159" s="726"/>
      <c r="H159" s="726"/>
      <c r="I159" s="726"/>
      <c r="J159" s="726"/>
      <c r="K159" s="726"/>
      <c r="L159" s="726"/>
      <c r="M159" s="726"/>
      <c r="N159" s="726"/>
      <c r="O159" s="18"/>
      <c r="P159" s="18"/>
    </row>
    <row r="160" spans="2:16" ht="12.75">
      <c r="B160" s="18"/>
      <c r="C160" s="18"/>
      <c r="D160" s="108"/>
      <c r="E160" s="67" t="s">
        <v>289</v>
      </c>
      <c r="F160" s="791" t="str">
        <f>Translations!$B$450</f>
        <v>Sélectionnez cette option pour indiquer que votre installation utilise de la chaleur issue de la production d'acide nitrique.</v>
      </c>
      <c r="G160" s="742"/>
      <c r="H160" s="742"/>
      <c r="I160" s="742"/>
      <c r="J160" s="742"/>
      <c r="K160" s="742"/>
      <c r="L160" s="742"/>
      <c r="M160" s="742"/>
      <c r="N160" s="742"/>
      <c r="O160" s="18"/>
      <c r="P160" s="18"/>
    </row>
    <row r="161" spans="2:16" ht="25.5" customHeight="1">
      <c r="B161" s="18"/>
      <c r="C161" s="18"/>
      <c r="D161" s="108"/>
      <c r="E161" s="67" t="s">
        <v>289</v>
      </c>
      <c r="F161" s="791" t="str">
        <f>Translations!$B$451</f>
        <v>Veuillez indiquer ce fait même si la production d'acide nitrique fait partie intégrante de votre installation et non uniquement si votre installation est connectée à ce type d'installation.</v>
      </c>
      <c r="G161" s="742"/>
      <c r="H161" s="742"/>
      <c r="I161" s="742"/>
      <c r="J161" s="742"/>
      <c r="K161" s="742"/>
      <c r="L161" s="742"/>
      <c r="M161" s="742"/>
      <c r="N161" s="742"/>
      <c r="O161" s="18"/>
      <c r="P161" s="18"/>
    </row>
    <row r="162" spans="2:16" ht="12.75">
      <c r="B162" s="18"/>
      <c r="C162" s="18"/>
      <c r="D162" s="108"/>
      <c r="E162" s="67" t="s">
        <v>289</v>
      </c>
      <c r="F162" s="791" t="str">
        <f>Translations!$B$452</f>
        <v>Ces informations sont pertinentes aux fins du bilan thermique (feuille «E_EnergyFlows, section II).</v>
      </c>
      <c r="G162" s="742"/>
      <c r="H162" s="742"/>
      <c r="I162" s="742"/>
      <c r="J162" s="742"/>
      <c r="K162" s="742"/>
      <c r="L162" s="742"/>
      <c r="M162" s="742"/>
      <c r="N162" s="742"/>
      <c r="O162" s="18"/>
      <c r="P162" s="18"/>
    </row>
    <row r="163" spans="2:16" ht="12.75">
      <c r="B163" s="18"/>
      <c r="C163" s="18"/>
      <c r="D163" s="108"/>
      <c r="E163" s="796" t="str">
        <f>Translations!$B$453</f>
        <v>Les types de connexions possibles sont les suivants:</v>
      </c>
      <c r="F163" s="721"/>
      <c r="G163" s="721"/>
      <c r="H163" s="721"/>
      <c r="I163" s="721"/>
      <c r="J163" s="721"/>
      <c r="K163" s="721"/>
      <c r="L163" s="721"/>
      <c r="M163" s="721"/>
      <c r="N163" s="721"/>
      <c r="O163" s="18"/>
      <c r="P163" s="18"/>
    </row>
    <row r="164" spans="2:16" ht="12.75">
      <c r="B164" s="18"/>
      <c r="C164" s="18"/>
      <c r="D164" s="108"/>
      <c r="E164" s="67" t="s">
        <v>289</v>
      </c>
      <c r="F164" s="791" t="str">
        <f>Translations!$B$24</f>
        <v>Chaleur mesurable</v>
      </c>
      <c r="G164" s="742"/>
      <c r="H164" s="742"/>
      <c r="I164" s="742"/>
      <c r="J164" s="742"/>
      <c r="K164" s="742"/>
      <c r="L164" s="742"/>
      <c r="M164" s="742"/>
      <c r="N164" s="742"/>
      <c r="O164" s="18"/>
      <c r="P164" s="18"/>
    </row>
    <row r="165" spans="2:16" ht="12.75">
      <c r="B165" s="18"/>
      <c r="C165" s="18"/>
      <c r="D165" s="108"/>
      <c r="E165" s="67" t="s">
        <v>289</v>
      </c>
      <c r="F165" s="791" t="str">
        <f>Translations!$B$25</f>
        <v>Gaz résiduaire</v>
      </c>
      <c r="G165" s="742"/>
      <c r="H165" s="742"/>
      <c r="I165" s="742"/>
      <c r="J165" s="742"/>
      <c r="K165" s="742"/>
      <c r="L165" s="742"/>
      <c r="M165" s="742"/>
      <c r="N165" s="742"/>
      <c r="O165" s="18"/>
      <c r="P165" s="18"/>
    </row>
    <row r="166" spans="2:16" ht="12.75">
      <c r="B166" s="18"/>
      <c r="C166" s="18"/>
      <c r="D166" s="108"/>
      <c r="E166" s="67" t="s">
        <v>289</v>
      </c>
      <c r="F166" s="791" t="str">
        <f>Translations!$B$26</f>
        <v>CO2 transféré (CCS-CSC)</v>
      </c>
      <c r="G166" s="742"/>
      <c r="H166" s="742"/>
      <c r="I166" s="742"/>
      <c r="J166" s="742"/>
      <c r="K166" s="742"/>
      <c r="L166" s="742"/>
      <c r="M166" s="742"/>
      <c r="N166" s="742"/>
      <c r="O166" s="18"/>
      <c r="P166" s="18"/>
    </row>
    <row r="167" spans="2:16" ht="12.75">
      <c r="B167" s="18"/>
      <c r="C167" s="18"/>
      <c r="D167" s="108"/>
      <c r="E167" s="796" t="str">
        <f>Translations!$B$454</f>
        <v>Les directions des flux sont (du point de vue de l'installation à laquelle la présente déclaration se rapporte):</v>
      </c>
      <c r="F167" s="721"/>
      <c r="G167" s="721"/>
      <c r="H167" s="721"/>
      <c r="I167" s="721"/>
      <c r="J167" s="721"/>
      <c r="K167" s="721"/>
      <c r="L167" s="721"/>
      <c r="M167" s="721"/>
      <c r="N167" s="721"/>
      <c r="O167" s="18"/>
      <c r="P167" s="18"/>
    </row>
    <row r="168" spans="2:16" ht="12.75">
      <c r="B168" s="18"/>
      <c r="C168" s="18"/>
      <c r="D168" s="108"/>
      <c r="E168" s="67" t="s">
        <v>289</v>
      </c>
      <c r="F168" s="791" t="str">
        <f>Translations!$B$455</f>
        <v>Importation (vers cette installation)</v>
      </c>
      <c r="G168" s="742"/>
      <c r="H168" s="742"/>
      <c r="I168" s="742"/>
      <c r="J168" s="742"/>
      <c r="K168" s="742"/>
      <c r="L168" s="742"/>
      <c r="M168" s="742"/>
      <c r="N168" s="742"/>
      <c r="O168" s="18"/>
      <c r="P168" s="18"/>
    </row>
    <row r="169" spans="2:16" ht="12.75">
      <c r="B169" s="18"/>
      <c r="C169" s="18"/>
      <c r="D169" s="108"/>
      <c r="E169" s="67" t="s">
        <v>289</v>
      </c>
      <c r="F169" s="791" t="str">
        <f>Translations!$B$456</f>
        <v>Exportation (en provenance de cette installation)</v>
      </c>
      <c r="G169" s="742"/>
      <c r="H169" s="742"/>
      <c r="I169" s="742"/>
      <c r="J169" s="742"/>
      <c r="K169" s="742"/>
      <c r="L169" s="742"/>
      <c r="M169" s="742"/>
      <c r="N169" s="742"/>
      <c r="O169" s="18"/>
      <c r="P169" s="18"/>
    </row>
    <row r="170" spans="2:17" ht="4.5" customHeight="1">
      <c r="B170" s="5"/>
      <c r="C170" s="5"/>
      <c r="D170" s="38"/>
      <c r="E170" s="5"/>
      <c r="F170" s="5"/>
      <c r="G170" s="5"/>
      <c r="H170" s="5"/>
      <c r="I170" s="5"/>
      <c r="J170" s="5"/>
      <c r="K170" s="5"/>
      <c r="L170" s="5"/>
      <c r="M170" s="9"/>
      <c r="N170" s="9"/>
      <c r="O170" s="9"/>
      <c r="P170" s="9"/>
      <c r="Q170" s="340"/>
    </row>
    <row r="171" spans="2:19" ht="13.5" thickBot="1">
      <c r="B171" s="18"/>
      <c r="C171" s="18"/>
      <c r="D171" s="29"/>
      <c r="E171" s="203" t="str">
        <f>Translations!$B$432</f>
        <v>Non.</v>
      </c>
      <c r="F171" s="857" t="str">
        <f>Translations!$B$457</f>
        <v>Dénomination de l'installation ou de l'entité</v>
      </c>
      <c r="G171" s="858"/>
      <c r="H171" s="869"/>
      <c r="I171" s="857" t="str">
        <f>Translations!$B$458</f>
        <v>Type d'entité</v>
      </c>
      <c r="J171" s="869"/>
      <c r="K171" s="857" t="str">
        <f>Translations!$B$459</f>
        <v>Type de connexion</v>
      </c>
      <c r="L171" s="869"/>
      <c r="M171" s="857" t="str">
        <f>Translations!$B$460</f>
        <v>Direction du flux</v>
      </c>
      <c r="N171" s="858"/>
      <c r="O171" s="18"/>
      <c r="P171" s="18"/>
      <c r="Q171" s="346"/>
      <c r="R171" s="346" t="s">
        <v>500</v>
      </c>
      <c r="S171" s="356" t="s">
        <v>137</v>
      </c>
    </row>
    <row r="172" spans="2:19" ht="12.75">
      <c r="B172" s="18"/>
      <c r="C172" s="18"/>
      <c r="D172" s="29"/>
      <c r="E172" s="30">
        <v>1</v>
      </c>
      <c r="F172" s="860"/>
      <c r="G172" s="861"/>
      <c r="H172" s="862"/>
      <c r="I172" s="863"/>
      <c r="J172" s="868"/>
      <c r="K172" s="863"/>
      <c r="L172" s="862"/>
      <c r="M172" s="864"/>
      <c r="N172" s="865"/>
      <c r="O172" s="18"/>
      <c r="P172" s="18"/>
      <c r="Q172" s="346"/>
      <c r="R172" s="353">
        <f>IF(NOT(ISBLANK(F172)),COUNTA($F$172:$F172),"")</f>
      </c>
      <c r="S172" s="353">
        <f>IF(ISBLANK(I172),"",OR(MATCH(I172,EUconst_ConnectedEntityTypes,0)=1,MATCH(I172,EUconst_ConnectedEntityTypes,0)=3))</f>
      </c>
    </row>
    <row r="173" spans="2:19" ht="12.75">
      <c r="B173" s="18"/>
      <c r="C173" s="18"/>
      <c r="D173" s="29"/>
      <c r="E173" s="31">
        <f>E172+1</f>
        <v>2</v>
      </c>
      <c r="F173" s="855"/>
      <c r="G173" s="872"/>
      <c r="H173" s="856"/>
      <c r="I173" s="855"/>
      <c r="J173" s="859"/>
      <c r="K173" s="855"/>
      <c r="L173" s="856"/>
      <c r="M173" s="866"/>
      <c r="N173" s="867"/>
      <c r="O173" s="18"/>
      <c r="P173" s="18"/>
      <c r="Q173" s="346"/>
      <c r="R173" s="354">
        <f>IF(NOT(ISBLANK(F173)),COUNTA($F$172:$F173),"")</f>
      </c>
      <c r="S173" s="354">
        <f aca="true" t="shared" si="0" ref="S173:S181">IF(ISBLANK(I173),"",OR(MATCH(I173,EUconst_ConnectedEntityTypes,0)=1,MATCH(I173,EUconst_ConnectedEntityTypes,0)=3))</f>
      </c>
    </row>
    <row r="174" spans="2:19" ht="12.75">
      <c r="B174" s="18"/>
      <c r="C174" s="18"/>
      <c r="D174" s="29"/>
      <c r="E174" s="31">
        <f aca="true" t="shared" si="1" ref="E174:E181">E173+1</f>
        <v>3</v>
      </c>
      <c r="F174" s="855"/>
      <c r="G174" s="872"/>
      <c r="H174" s="856"/>
      <c r="I174" s="855"/>
      <c r="J174" s="859"/>
      <c r="K174" s="855"/>
      <c r="L174" s="856"/>
      <c r="M174" s="866"/>
      <c r="N174" s="867"/>
      <c r="O174" s="18"/>
      <c r="P174" s="18"/>
      <c r="Q174" s="346"/>
      <c r="R174" s="354">
        <f>IF(NOT(ISBLANK(F174)),COUNTA($F$172:$F174),"")</f>
      </c>
      <c r="S174" s="354">
        <f t="shared" si="0"/>
      </c>
    </row>
    <row r="175" spans="2:19" ht="12.75">
      <c r="B175" s="18"/>
      <c r="C175" s="18"/>
      <c r="D175" s="29"/>
      <c r="E175" s="31">
        <f t="shared" si="1"/>
        <v>4</v>
      </c>
      <c r="F175" s="855"/>
      <c r="G175" s="872"/>
      <c r="H175" s="856"/>
      <c r="I175" s="855"/>
      <c r="J175" s="859"/>
      <c r="K175" s="855"/>
      <c r="L175" s="856"/>
      <c r="M175" s="866"/>
      <c r="N175" s="867"/>
      <c r="O175" s="18"/>
      <c r="P175" s="18"/>
      <c r="Q175" s="346"/>
      <c r="R175" s="354">
        <f>IF(NOT(ISBLANK(F175)),COUNTA($F$172:$F175),"")</f>
      </c>
      <c r="S175" s="354">
        <f t="shared" si="0"/>
      </c>
    </row>
    <row r="176" spans="2:19" ht="12.75">
      <c r="B176" s="18"/>
      <c r="C176" s="18"/>
      <c r="D176" s="29"/>
      <c r="E176" s="31">
        <f t="shared" si="1"/>
        <v>5</v>
      </c>
      <c r="F176" s="855"/>
      <c r="G176" s="872"/>
      <c r="H176" s="856"/>
      <c r="I176" s="855"/>
      <c r="J176" s="859"/>
      <c r="K176" s="855"/>
      <c r="L176" s="856"/>
      <c r="M176" s="866"/>
      <c r="N176" s="867"/>
      <c r="O176" s="18"/>
      <c r="P176" s="18"/>
      <c r="Q176" s="346"/>
      <c r="R176" s="354">
        <f>IF(NOT(ISBLANK(F176)),COUNTA($F$172:$F176),"")</f>
      </c>
      <c r="S176" s="354">
        <f t="shared" si="0"/>
      </c>
    </row>
    <row r="177" spans="2:19" ht="12.75">
      <c r="B177" s="18"/>
      <c r="C177" s="18"/>
      <c r="D177" s="29"/>
      <c r="E177" s="31">
        <f t="shared" si="1"/>
        <v>6</v>
      </c>
      <c r="F177" s="855"/>
      <c r="G177" s="872"/>
      <c r="H177" s="856"/>
      <c r="I177" s="855"/>
      <c r="J177" s="859"/>
      <c r="K177" s="855"/>
      <c r="L177" s="856"/>
      <c r="M177" s="866"/>
      <c r="N177" s="867"/>
      <c r="O177" s="18"/>
      <c r="P177" s="18"/>
      <c r="Q177" s="346"/>
      <c r="R177" s="354">
        <f>IF(NOT(ISBLANK(F177)),COUNTA($F$172:$F177),"")</f>
      </c>
      <c r="S177" s="354">
        <f t="shared" si="0"/>
      </c>
    </row>
    <row r="178" spans="2:19" ht="12.75">
      <c r="B178" s="18"/>
      <c r="C178" s="18"/>
      <c r="D178" s="29"/>
      <c r="E178" s="31">
        <f t="shared" si="1"/>
        <v>7</v>
      </c>
      <c r="F178" s="855"/>
      <c r="G178" s="872"/>
      <c r="H178" s="856"/>
      <c r="I178" s="855"/>
      <c r="J178" s="859"/>
      <c r="K178" s="855"/>
      <c r="L178" s="856"/>
      <c r="M178" s="866"/>
      <c r="N178" s="867"/>
      <c r="O178" s="18"/>
      <c r="P178" s="18"/>
      <c r="Q178" s="346"/>
      <c r="R178" s="354">
        <f>IF(NOT(ISBLANK(F178)),COUNTA($F$172:$F178),"")</f>
      </c>
      <c r="S178" s="354">
        <f t="shared" si="0"/>
      </c>
    </row>
    <row r="179" spans="2:19" ht="12.75">
      <c r="B179" s="18"/>
      <c r="C179" s="18"/>
      <c r="D179" s="29"/>
      <c r="E179" s="31">
        <f t="shared" si="1"/>
        <v>8</v>
      </c>
      <c r="F179" s="855"/>
      <c r="G179" s="872"/>
      <c r="H179" s="856"/>
      <c r="I179" s="855"/>
      <c r="J179" s="859"/>
      <c r="K179" s="855"/>
      <c r="L179" s="856"/>
      <c r="M179" s="866"/>
      <c r="N179" s="867"/>
      <c r="O179" s="18"/>
      <c r="P179" s="18"/>
      <c r="Q179" s="346"/>
      <c r="R179" s="354">
        <f>IF(NOT(ISBLANK(F179)),COUNTA($F$172:$F179),"")</f>
      </c>
      <c r="S179" s="354">
        <f t="shared" si="0"/>
      </c>
    </row>
    <row r="180" spans="2:19" ht="12.75">
      <c r="B180" s="18"/>
      <c r="C180" s="18"/>
      <c r="D180" s="29"/>
      <c r="E180" s="31">
        <f t="shared" si="1"/>
        <v>9</v>
      </c>
      <c r="F180" s="855"/>
      <c r="G180" s="872"/>
      <c r="H180" s="856"/>
      <c r="I180" s="855"/>
      <c r="J180" s="859"/>
      <c r="K180" s="855"/>
      <c r="L180" s="856"/>
      <c r="M180" s="866"/>
      <c r="N180" s="867"/>
      <c r="O180" s="18"/>
      <c r="P180" s="18"/>
      <c r="Q180" s="346"/>
      <c r="R180" s="354">
        <f>IF(NOT(ISBLANK(F180)),COUNTA($F$172:$F180),"")</f>
      </c>
      <c r="S180" s="354">
        <f t="shared" si="0"/>
      </c>
    </row>
    <row r="181" spans="2:19" ht="13.5" thickBot="1">
      <c r="B181" s="18"/>
      <c r="C181" s="18"/>
      <c r="D181" s="29"/>
      <c r="E181" s="32">
        <f t="shared" si="1"/>
        <v>10</v>
      </c>
      <c r="F181" s="878"/>
      <c r="G181" s="879"/>
      <c r="H181" s="880"/>
      <c r="I181" s="878"/>
      <c r="J181" s="888"/>
      <c r="K181" s="878"/>
      <c r="L181" s="880"/>
      <c r="M181" s="891"/>
      <c r="N181" s="892"/>
      <c r="O181" s="18"/>
      <c r="P181" s="18"/>
      <c r="Q181" s="346"/>
      <c r="R181" s="355">
        <f>IF(NOT(ISBLANK(F181)),COUNTA($F$172:$F181),"")</f>
      </c>
      <c r="S181" s="355">
        <f t="shared" si="0"/>
      </c>
    </row>
    <row r="182" spans="2:16" ht="12.75">
      <c r="B182" s="18"/>
      <c r="C182" s="18"/>
      <c r="D182" s="29"/>
      <c r="E182" s="24"/>
      <c r="F182" s="24"/>
      <c r="G182" s="24"/>
      <c r="H182" s="24"/>
      <c r="I182" s="24"/>
      <c r="J182" s="24"/>
      <c r="K182" s="24"/>
      <c r="L182" s="24"/>
      <c r="M182" s="24"/>
      <c r="N182" s="24"/>
      <c r="O182" s="18"/>
      <c r="P182" s="18"/>
    </row>
    <row r="183" spans="2:16" ht="12.75">
      <c r="B183" s="18"/>
      <c r="C183" s="18"/>
      <c r="D183" s="99" t="s">
        <v>246</v>
      </c>
      <c r="E183" s="743" t="str">
        <f>Translations!$B$461</f>
        <v>Veuillez indiquer ici, s'il y a lieu, les informations complémentaires concernant ces installations connectées:</v>
      </c>
      <c r="F183" s="742"/>
      <c r="G183" s="742"/>
      <c r="H183" s="742"/>
      <c r="I183" s="742"/>
      <c r="J183" s="742"/>
      <c r="K183" s="742"/>
      <c r="L183" s="742"/>
      <c r="M183" s="742"/>
      <c r="N183" s="742"/>
      <c r="O183" s="18"/>
      <c r="P183" s="18"/>
    </row>
    <row r="184" spans="2:16" ht="12.75">
      <c r="B184" s="18"/>
      <c r="C184" s="18"/>
      <c r="D184" s="15"/>
      <c r="E184" s="791" t="str">
        <f>Translations!$B$1162</f>
        <v>Le code d'identification de l'installation est obligatoire si l'installation connectée relève du SEQE-UE.</v>
      </c>
      <c r="F184" s="742"/>
      <c r="G184" s="742"/>
      <c r="H184" s="742"/>
      <c r="I184" s="742"/>
      <c r="J184" s="742"/>
      <c r="K184" s="742"/>
      <c r="L184" s="742"/>
      <c r="M184" s="742"/>
      <c r="N184" s="742"/>
      <c r="O184" s="18"/>
      <c r="P184" s="18"/>
    </row>
    <row r="185" spans="2:16" ht="12.75">
      <c r="B185" s="18"/>
      <c r="C185" s="18"/>
      <c r="D185" s="15"/>
      <c r="E185" s="791">
        <f>Translations!$B$462</f>
        <v>0</v>
      </c>
      <c r="F185" s="742"/>
      <c r="G185" s="742"/>
      <c r="H185" s="742"/>
      <c r="I185" s="742"/>
      <c r="J185" s="742"/>
      <c r="K185" s="742"/>
      <c r="L185" s="742"/>
      <c r="M185" s="742"/>
      <c r="N185" s="742"/>
      <c r="O185" s="18"/>
      <c r="P185" s="18"/>
    </row>
    <row r="186" spans="2:16" ht="12.75" customHeight="1">
      <c r="B186" s="18"/>
      <c r="C186" s="18"/>
      <c r="D186" s="15"/>
      <c r="E186" s="791" t="str">
        <f>Translations!$B$463</f>
        <v>Pour les entités ne relevant pas du SEQE-UE, les coordonnées doivent être obligatoirement indiquées, </v>
      </c>
      <c r="F186" s="742"/>
      <c r="G186" s="742"/>
      <c r="H186" s="742"/>
      <c r="I186" s="742"/>
      <c r="J186" s="742"/>
      <c r="K186" s="742"/>
      <c r="L186" s="742"/>
      <c r="M186" s="742"/>
      <c r="N186" s="742"/>
      <c r="O186" s="18"/>
      <c r="P186" s="18"/>
    </row>
    <row r="187" spans="2:16" ht="12.75">
      <c r="B187" s="18"/>
      <c r="C187" s="18"/>
      <c r="D187" s="18"/>
      <c r="E187" s="205" t="str">
        <f>Translations!$B$432</f>
        <v>Non.</v>
      </c>
      <c r="F187" s="857" t="str">
        <f>Translations!$B$464</f>
        <v>Numéro GIDIC de l'installation</v>
      </c>
      <c r="G187" s="869"/>
      <c r="H187" s="857" t="str">
        <f>Translations!$B$465</f>
        <v>Nom de la personne à contacter</v>
      </c>
      <c r="I187" s="869"/>
      <c r="J187" s="895" t="str">
        <f>Translations!$B$466</f>
        <v>Courrier électronique</v>
      </c>
      <c r="K187" s="858"/>
      <c r="L187" s="869"/>
      <c r="M187" s="857" t="str">
        <f>Translations!$B$467</f>
        <v>numéro de téléphone</v>
      </c>
      <c r="N187" s="896"/>
      <c r="O187" s="18"/>
      <c r="P187" s="18"/>
    </row>
    <row r="188" spans="2:16" ht="12.75">
      <c r="B188" s="18"/>
      <c r="C188" s="18"/>
      <c r="D188" s="18"/>
      <c r="E188" s="37">
        <v>1</v>
      </c>
      <c r="F188" s="893"/>
      <c r="G188" s="894"/>
      <c r="H188" s="889"/>
      <c r="I188" s="890"/>
      <c r="J188" s="889"/>
      <c r="K188" s="897"/>
      <c r="L188" s="890"/>
      <c r="M188" s="898"/>
      <c r="N188" s="899"/>
      <c r="O188" s="18"/>
      <c r="P188" s="18"/>
    </row>
    <row r="189" spans="2:16" ht="12.75">
      <c r="B189" s="18"/>
      <c r="C189" s="18"/>
      <c r="D189" s="18"/>
      <c r="E189" s="31">
        <f>E188+1</f>
        <v>2</v>
      </c>
      <c r="F189" s="873"/>
      <c r="G189" s="874"/>
      <c r="H189" s="875"/>
      <c r="I189" s="877"/>
      <c r="J189" s="875"/>
      <c r="K189" s="876"/>
      <c r="L189" s="877"/>
      <c r="M189" s="881"/>
      <c r="N189" s="882"/>
      <c r="O189" s="18"/>
      <c r="P189" s="18"/>
    </row>
    <row r="190" spans="2:16" ht="12.75">
      <c r="B190" s="18"/>
      <c r="C190" s="18"/>
      <c r="D190" s="18"/>
      <c r="E190" s="31">
        <f aca="true" t="shared" si="2" ref="E190:E197">E189+1</f>
        <v>3</v>
      </c>
      <c r="F190" s="873"/>
      <c r="G190" s="874"/>
      <c r="H190" s="875"/>
      <c r="I190" s="877"/>
      <c r="J190" s="875"/>
      <c r="K190" s="876"/>
      <c r="L190" s="877"/>
      <c r="M190" s="881"/>
      <c r="N190" s="882"/>
      <c r="O190" s="18"/>
      <c r="P190" s="18"/>
    </row>
    <row r="191" spans="2:16" ht="12.75">
      <c r="B191" s="18"/>
      <c r="C191" s="18"/>
      <c r="D191" s="18"/>
      <c r="E191" s="31">
        <f t="shared" si="2"/>
        <v>4</v>
      </c>
      <c r="F191" s="873"/>
      <c r="G191" s="874"/>
      <c r="H191" s="875"/>
      <c r="I191" s="877"/>
      <c r="J191" s="875"/>
      <c r="K191" s="876"/>
      <c r="L191" s="877"/>
      <c r="M191" s="881"/>
      <c r="N191" s="882"/>
      <c r="O191" s="18"/>
      <c r="P191" s="18"/>
    </row>
    <row r="192" spans="2:16" ht="12.75">
      <c r="B192" s="18"/>
      <c r="C192" s="18"/>
      <c r="D192" s="18"/>
      <c r="E192" s="31">
        <f t="shared" si="2"/>
        <v>5</v>
      </c>
      <c r="F192" s="873"/>
      <c r="G192" s="874"/>
      <c r="H192" s="875"/>
      <c r="I192" s="877"/>
      <c r="J192" s="875"/>
      <c r="K192" s="876"/>
      <c r="L192" s="877"/>
      <c r="M192" s="881"/>
      <c r="N192" s="882"/>
      <c r="O192" s="18"/>
      <c r="P192" s="18"/>
    </row>
    <row r="193" spans="2:16" ht="12.75">
      <c r="B193" s="18"/>
      <c r="C193" s="18"/>
      <c r="D193" s="18"/>
      <c r="E193" s="31">
        <f t="shared" si="2"/>
        <v>6</v>
      </c>
      <c r="F193" s="873"/>
      <c r="G193" s="874"/>
      <c r="H193" s="875"/>
      <c r="I193" s="877"/>
      <c r="J193" s="875"/>
      <c r="K193" s="876"/>
      <c r="L193" s="877"/>
      <c r="M193" s="881"/>
      <c r="N193" s="882"/>
      <c r="O193" s="18"/>
      <c r="P193" s="18"/>
    </row>
    <row r="194" spans="2:16" ht="12.75">
      <c r="B194" s="18"/>
      <c r="C194" s="18"/>
      <c r="D194" s="18"/>
      <c r="E194" s="31">
        <f t="shared" si="2"/>
        <v>7</v>
      </c>
      <c r="F194" s="873"/>
      <c r="G194" s="874"/>
      <c r="H194" s="875"/>
      <c r="I194" s="877"/>
      <c r="J194" s="875"/>
      <c r="K194" s="876"/>
      <c r="L194" s="877"/>
      <c r="M194" s="881"/>
      <c r="N194" s="882"/>
      <c r="O194" s="18"/>
      <c r="P194" s="18"/>
    </row>
    <row r="195" spans="2:16" ht="12.75">
      <c r="B195" s="18"/>
      <c r="C195" s="18"/>
      <c r="D195" s="18"/>
      <c r="E195" s="31">
        <f t="shared" si="2"/>
        <v>8</v>
      </c>
      <c r="F195" s="873"/>
      <c r="G195" s="874"/>
      <c r="H195" s="875"/>
      <c r="I195" s="877"/>
      <c r="J195" s="875"/>
      <c r="K195" s="876"/>
      <c r="L195" s="877"/>
      <c r="M195" s="881"/>
      <c r="N195" s="882"/>
      <c r="O195" s="18"/>
      <c r="P195" s="18"/>
    </row>
    <row r="196" spans="2:16" ht="12.75">
      <c r="B196" s="18"/>
      <c r="C196" s="18"/>
      <c r="D196" s="18"/>
      <c r="E196" s="31">
        <f t="shared" si="2"/>
        <v>9</v>
      </c>
      <c r="F196" s="873"/>
      <c r="G196" s="874"/>
      <c r="H196" s="875"/>
      <c r="I196" s="877"/>
      <c r="J196" s="875"/>
      <c r="K196" s="876"/>
      <c r="L196" s="877"/>
      <c r="M196" s="881"/>
      <c r="N196" s="882"/>
      <c r="O196" s="18"/>
      <c r="P196" s="18"/>
    </row>
    <row r="197" spans="2:16" ht="12.75">
      <c r="B197" s="18"/>
      <c r="C197" s="18"/>
      <c r="D197" s="18"/>
      <c r="E197" s="32">
        <f t="shared" si="2"/>
        <v>10</v>
      </c>
      <c r="F197" s="870"/>
      <c r="G197" s="871"/>
      <c r="H197" s="883"/>
      <c r="I197" s="884"/>
      <c r="J197" s="883"/>
      <c r="K197" s="887"/>
      <c r="L197" s="884"/>
      <c r="M197" s="885"/>
      <c r="N197" s="886"/>
      <c r="O197" s="18"/>
      <c r="P197" s="18"/>
    </row>
    <row r="198" spans="2:16" ht="38.25" customHeight="1">
      <c r="B198" s="18"/>
      <c r="C198" s="18"/>
      <c r="D198" s="18"/>
      <c r="E198" s="24"/>
      <c r="F198" s="24"/>
      <c r="G198" s="24"/>
      <c r="H198" s="24"/>
      <c r="I198" s="24"/>
      <c r="J198" s="24"/>
      <c r="K198" s="24"/>
      <c r="L198" s="24"/>
      <c r="M198" s="24"/>
      <c r="N198" s="24"/>
      <c r="O198" s="18"/>
      <c r="P198" s="18"/>
    </row>
    <row r="199" spans="1:26" s="524" customFormat="1" ht="18" customHeight="1">
      <c r="A199" s="4"/>
      <c r="B199" s="208"/>
      <c r="C199" s="316" t="s">
        <v>215</v>
      </c>
      <c r="D199" s="332" t="str">
        <f>Translations!$B$1504</f>
        <v>Identification de toutes les installations concernées</v>
      </c>
      <c r="E199" s="332"/>
      <c r="F199" s="332"/>
      <c r="G199" s="332"/>
      <c r="H199" s="332"/>
      <c r="I199" s="332"/>
      <c r="J199" s="332"/>
      <c r="K199" s="332"/>
      <c r="L199" s="332"/>
      <c r="M199" s="332"/>
      <c r="N199" s="332"/>
      <c r="O199" s="209"/>
      <c r="P199" s="209"/>
      <c r="Q199" s="363"/>
      <c r="R199" s="363"/>
      <c r="S199" s="363"/>
      <c r="T199" s="363"/>
      <c r="U199" s="363"/>
      <c r="V199" s="363"/>
      <c r="W199" s="363"/>
      <c r="X199" s="363"/>
      <c r="Y199" s="363"/>
      <c r="Z199" s="363"/>
    </row>
    <row r="200" spans="2:17" ht="12.75" customHeight="1">
      <c r="B200" s="5"/>
      <c r="C200" s="5"/>
      <c r="D200" s="5"/>
      <c r="E200" s="5"/>
      <c r="F200" s="5"/>
      <c r="G200" s="5"/>
      <c r="H200" s="5"/>
      <c r="I200" s="5"/>
      <c r="J200" s="5"/>
      <c r="K200" s="5"/>
      <c r="L200" s="5"/>
      <c r="M200" s="9"/>
      <c r="N200" s="9"/>
      <c r="O200" s="9"/>
      <c r="P200" s="9"/>
      <c r="Q200" s="340"/>
    </row>
    <row r="201" spans="2:17" ht="12.75" customHeight="1">
      <c r="B201" s="5"/>
      <c r="C201" s="5"/>
      <c r="D201" s="792" t="str">
        <f>Translations!$B$1526</f>
        <v>Veuillez indiquer ici les informations relatives à toutes les installations concernées par la fusion, la scission ou le transfert de certaines parties d'installations.</v>
      </c>
      <c r="E201" s="792"/>
      <c r="F201" s="792"/>
      <c r="G201" s="792"/>
      <c r="H201" s="792"/>
      <c r="I201" s="792"/>
      <c r="J201" s="792"/>
      <c r="K201" s="792"/>
      <c r="L201" s="792"/>
      <c r="M201" s="792"/>
      <c r="N201" s="792"/>
      <c r="O201" s="9"/>
      <c r="P201" s="9"/>
      <c r="Q201" s="340"/>
    </row>
    <row r="202" spans="2:17" ht="12.75" customHeight="1">
      <c r="B202" s="5"/>
      <c r="C202" s="5"/>
      <c r="D202" s="796" t="str">
        <f>Translations!$B$1527</f>
        <v>Les informations relatives aux installations 1 et 2 doivent correspondre à la situation AVANT la fusion, la scission ou le transfert de parties d’installations.</v>
      </c>
      <c r="E202" s="796"/>
      <c r="F202" s="796"/>
      <c r="G202" s="796"/>
      <c r="H202" s="796"/>
      <c r="I202" s="796"/>
      <c r="J202" s="796"/>
      <c r="K202" s="796"/>
      <c r="L202" s="796"/>
      <c r="M202" s="796"/>
      <c r="N202" s="796"/>
      <c r="O202" s="9"/>
      <c r="P202" s="9"/>
      <c r="Q202" s="340"/>
    </row>
    <row r="203" spans="2:17" ht="25.5" customHeight="1">
      <c r="B203" s="5"/>
      <c r="C203" s="5"/>
      <c r="D203" s="796" t="str">
        <f>Translations!$B$1528</f>
        <v>Les informations relatives aux installations 3 et 4 doivent correspondre à la situation APRÈS la fusion, la scission ou le transfert de parties d’installations.</v>
      </c>
      <c r="E203" s="796"/>
      <c r="F203" s="796"/>
      <c r="G203" s="796"/>
      <c r="H203" s="796"/>
      <c r="I203" s="796"/>
      <c r="J203" s="796"/>
      <c r="K203" s="796"/>
      <c r="L203" s="796"/>
      <c r="M203" s="796"/>
      <c r="N203" s="796"/>
      <c r="O203" s="9"/>
      <c r="P203" s="9"/>
      <c r="Q203" s="340"/>
    </row>
    <row r="204" spans="2:17" ht="12.75" customHeight="1">
      <c r="B204" s="5"/>
      <c r="C204" s="5"/>
      <c r="D204" s="792" t="str">
        <f>Translations!$B$1529</f>
        <v>Veuillez noter que, souvent, il n’y aura qu’une seule installation avant ou après la modification. En pareil cas, il n'y a pas lieu de remplir toutes les sections ci-dessous:</v>
      </c>
      <c r="E204" s="792"/>
      <c r="F204" s="792"/>
      <c r="G204" s="792"/>
      <c r="H204" s="792"/>
      <c r="I204" s="792"/>
      <c r="J204" s="792"/>
      <c r="K204" s="792"/>
      <c r="L204" s="792"/>
      <c r="M204" s="792"/>
      <c r="N204" s="792"/>
      <c r="O204" s="9"/>
      <c r="P204" s="9"/>
      <c r="Q204" s="340"/>
    </row>
    <row r="205" spans="2:17" ht="12.75" customHeight="1">
      <c r="B205" s="5"/>
      <c r="C205" s="5"/>
      <c r="D205" s="191" t="s">
        <v>289</v>
      </c>
      <c r="E205" s="796" t="str">
        <f>Translations!$B$1530</f>
        <v>En cas de fusion, il y aura généralement deux installations AVANT la modification et une seulement APRÈS la modification (sections correspondantes: 1, 2 et 3).</v>
      </c>
      <c r="F205" s="796"/>
      <c r="G205" s="796"/>
      <c r="H205" s="796"/>
      <c r="I205" s="796"/>
      <c r="J205" s="796"/>
      <c r="K205" s="796"/>
      <c r="L205" s="796"/>
      <c r="M205" s="796"/>
      <c r="N205" s="796"/>
      <c r="O205" s="9"/>
      <c r="P205" s="9"/>
      <c r="Q205" s="340"/>
    </row>
    <row r="206" spans="2:17" ht="12.75" customHeight="1">
      <c r="B206" s="5"/>
      <c r="C206" s="5"/>
      <c r="D206" s="191" t="s">
        <v>289</v>
      </c>
      <c r="E206" s="796" t="str">
        <f>Translations!$B$1531</f>
        <v>En cas de scission, il y aura généralement une installation AVANT la modification et deux APRÈS la modification (sections correspondantes: 1, 3 et 4).</v>
      </c>
      <c r="F206" s="796"/>
      <c r="G206" s="796"/>
      <c r="H206" s="796"/>
      <c r="I206" s="796"/>
      <c r="J206" s="796"/>
      <c r="K206" s="796"/>
      <c r="L206" s="796"/>
      <c r="M206" s="796"/>
      <c r="N206" s="796"/>
      <c r="O206" s="9"/>
      <c r="P206" s="9"/>
      <c r="Q206" s="340"/>
    </row>
    <row r="207" spans="2:17" ht="12.75" customHeight="1">
      <c r="B207" s="5"/>
      <c r="C207" s="5"/>
      <c r="D207" s="191"/>
      <c r="E207" s="244"/>
      <c r="F207" s="244"/>
      <c r="G207" s="244"/>
      <c r="H207" s="244"/>
      <c r="I207" s="244"/>
      <c r="J207" s="244"/>
      <c r="K207" s="244"/>
      <c r="L207" s="244"/>
      <c r="M207" s="244"/>
      <c r="N207" s="244"/>
      <c r="O207" s="9"/>
      <c r="P207" s="9"/>
      <c r="Q207" s="340"/>
    </row>
    <row r="208" spans="2:16" ht="15">
      <c r="B208" s="18"/>
      <c r="C208" s="16">
        <v>1</v>
      </c>
      <c r="D208" s="817" t="str">
        <f>Translations!$B$1492&amp;" "&amp;C208</f>
        <v>Installation AVANT fusion, scission ou transfert 1</v>
      </c>
      <c r="E208" s="742"/>
      <c r="F208" s="742"/>
      <c r="G208" s="742"/>
      <c r="H208" s="742"/>
      <c r="I208" s="742"/>
      <c r="J208" s="742"/>
      <c r="K208" s="742"/>
      <c r="L208" s="742"/>
      <c r="M208" s="742"/>
      <c r="N208" s="742"/>
      <c r="O208" s="18"/>
      <c r="P208" s="18"/>
    </row>
    <row r="209" spans="2:17" ht="4.5" customHeight="1">
      <c r="B209" s="5"/>
      <c r="C209" s="5"/>
      <c r="D209" s="5"/>
      <c r="E209" s="5"/>
      <c r="F209" s="5"/>
      <c r="G209" s="5"/>
      <c r="H209" s="5"/>
      <c r="I209" s="5"/>
      <c r="J209" s="5"/>
      <c r="K209" s="5"/>
      <c r="L209" s="5"/>
      <c r="M209" s="9"/>
      <c r="N209" s="9"/>
      <c r="O209" s="9"/>
      <c r="P209" s="18"/>
      <c r="Q209" s="340"/>
    </row>
    <row r="210" spans="2:17" ht="12.75" customHeight="1">
      <c r="B210" s="5"/>
      <c r="C210" s="5"/>
      <c r="D210" s="99" t="s">
        <v>463</v>
      </c>
      <c r="E210" s="743" t="str">
        <f>Translations!$B$1532</f>
        <v>Même installation que celle pour laquelle la présente demande est soumise?</v>
      </c>
      <c r="F210" s="742"/>
      <c r="G210" s="742"/>
      <c r="H210" s="742"/>
      <c r="I210" s="818"/>
      <c r="J210" s="325"/>
      <c r="K210" s="5"/>
      <c r="L210" s="5"/>
      <c r="M210" s="9"/>
      <c r="N210" s="9"/>
      <c r="O210" s="9"/>
      <c r="P210" s="18"/>
      <c r="Q210" s="340"/>
    </row>
    <row r="211" spans="2:17" ht="25.5" customHeight="1">
      <c r="B211" s="5"/>
      <c r="C211" s="5"/>
      <c r="D211" s="5"/>
      <c r="E211" s="796" t="str">
        <f>Translations!$B$1533</f>
        <v>Veuillez indiquer ici «VRAI» si le code d'identification (ID) et les données relatives à l’installation (section II ci-dessus) AVANT la fusion, la scission ou le transfert sont identiques à celles de l'installation APRÈS ce changement.</v>
      </c>
      <c r="F211" s="796"/>
      <c r="G211" s="796"/>
      <c r="H211" s="796"/>
      <c r="I211" s="796"/>
      <c r="J211" s="796"/>
      <c r="K211" s="796"/>
      <c r="L211" s="796"/>
      <c r="M211" s="796"/>
      <c r="N211" s="796"/>
      <c r="O211" s="9"/>
      <c r="P211" s="18"/>
      <c r="Q211" s="340"/>
    </row>
    <row r="212" spans="2:17" ht="25.5" customHeight="1">
      <c r="B212" s="5"/>
      <c r="C212" s="5"/>
      <c r="D212" s="5"/>
      <c r="E212" s="796" t="str">
        <f>Translations!$B$1534</f>
        <v>Si vous indiquez «FAUX», cela signifie que le code d'identification ou les données relatives à l’installation sont différents. En pareil cas, il convient de saisir manuellement au point ii. ci-dessous le nom de l’installation 1 AVANT la fusion, la scission ou le transfert.</v>
      </c>
      <c r="F212" s="796"/>
      <c r="G212" s="796"/>
      <c r="H212" s="796"/>
      <c r="I212" s="796"/>
      <c r="J212" s="796"/>
      <c r="K212" s="796"/>
      <c r="L212" s="796"/>
      <c r="M212" s="796"/>
      <c r="N212" s="796"/>
      <c r="O212" s="9"/>
      <c r="P212" s="18"/>
      <c r="Q212" s="340"/>
    </row>
    <row r="213" spans="2:17" ht="4.5" customHeight="1">
      <c r="B213" s="5"/>
      <c r="C213" s="5"/>
      <c r="D213" s="5"/>
      <c r="E213" s="244"/>
      <c r="F213" s="244"/>
      <c r="G213" s="244"/>
      <c r="H213" s="244"/>
      <c r="I213" s="244"/>
      <c r="J213" s="244"/>
      <c r="K213" s="244"/>
      <c r="L213" s="244"/>
      <c r="M213" s="244"/>
      <c r="N213" s="244"/>
      <c r="O213" s="9"/>
      <c r="P213" s="18"/>
      <c r="Q213" s="340"/>
    </row>
    <row r="214" spans="2:26" ht="12.75" customHeight="1">
      <c r="B214" s="5"/>
      <c r="C214" s="5"/>
      <c r="D214" s="5"/>
      <c r="E214" s="322" t="s">
        <v>426</v>
      </c>
      <c r="F214" s="824" t="str">
        <f>Translations!$B$1535</f>
        <v>Nom de l’installation [mentionné à la section II. 1 a)]</v>
      </c>
      <c r="G214" s="824"/>
      <c r="H214" s="824"/>
      <c r="I214" s="825"/>
      <c r="J214" s="826">
        <f>IF(J210,IF(ISBLANK(J48),"",J48),"")</f>
      </c>
      <c r="K214" s="827"/>
      <c r="L214" s="827"/>
      <c r="M214" s="827"/>
      <c r="N214" s="828"/>
      <c r="O214" s="9"/>
      <c r="P214" s="18"/>
      <c r="Q214" s="340"/>
      <c r="Z214" s="440" t="s">
        <v>559</v>
      </c>
    </row>
    <row r="215" spans="2:26" ht="12.75" customHeight="1">
      <c r="B215" s="5"/>
      <c r="C215" s="5"/>
      <c r="D215" s="5"/>
      <c r="E215" s="322" t="s">
        <v>427</v>
      </c>
      <c r="F215" s="822" t="str">
        <f>Translations!$B$1536</f>
        <v>Saisie manuelle (si le nom diffère de celui indiqué en i.).</v>
      </c>
      <c r="G215" s="822"/>
      <c r="H215" s="822"/>
      <c r="I215" s="823"/>
      <c r="J215" s="927"/>
      <c r="K215" s="928"/>
      <c r="L215" s="928"/>
      <c r="M215" s="928"/>
      <c r="N215" s="929"/>
      <c r="O215" s="9"/>
      <c r="P215" s="18"/>
      <c r="Q215" s="340"/>
      <c r="Z215" s="343">
        <f>IF(J210,1,IF(AND(J210&lt;&gt;"",J210=FALSE),2,""))</f>
      </c>
    </row>
    <row r="216" spans="2:17" ht="12.75" customHeight="1">
      <c r="B216" s="5"/>
      <c r="C216" s="5"/>
      <c r="D216" s="5"/>
      <c r="E216" s="322" t="s">
        <v>428</v>
      </c>
      <c r="F216" s="839" t="str">
        <f>Translations!$B$1537</f>
        <v>Nom de l’installation utilisé dans la demande</v>
      </c>
      <c r="G216" s="839"/>
      <c r="H216" s="839"/>
      <c r="I216" s="840"/>
      <c r="J216" s="836">
        <f>IF(J215="",J214,J215)</f>
      </c>
      <c r="K216" s="837"/>
      <c r="L216" s="837"/>
      <c r="M216" s="837"/>
      <c r="N216" s="838"/>
      <c r="O216" s="9"/>
      <c r="P216" s="18"/>
      <c r="Q216" s="340"/>
    </row>
    <row r="217" spans="2:17" ht="4.5" customHeight="1">
      <c r="B217" s="5"/>
      <c r="C217" s="5"/>
      <c r="D217" s="5"/>
      <c r="E217" s="5"/>
      <c r="F217" s="5"/>
      <c r="G217" s="5"/>
      <c r="H217" s="5"/>
      <c r="I217" s="5"/>
      <c r="J217" s="5"/>
      <c r="K217" s="5"/>
      <c r="L217" s="5"/>
      <c r="M217" s="9"/>
      <c r="N217" s="9"/>
      <c r="O217" s="9"/>
      <c r="P217" s="18"/>
      <c r="Q217" s="340"/>
    </row>
    <row r="218" spans="2:16" ht="12.75">
      <c r="B218" s="18"/>
      <c r="C218" s="18"/>
      <c r="D218" s="14" t="s">
        <v>246</v>
      </c>
      <c r="E218" s="743" t="str">
        <f>Translations!$B$350</f>
        <v>Identificateur unique attribué par l'autorité compétente:</v>
      </c>
      <c r="F218" s="742"/>
      <c r="G218" s="742"/>
      <c r="H218" s="742"/>
      <c r="I218" s="789"/>
      <c r="J218" s="930"/>
      <c r="K218" s="930"/>
      <c r="L218" s="930"/>
      <c r="M218" s="930"/>
      <c r="N218" s="930"/>
      <c r="O218" s="18"/>
      <c r="P218" s="18"/>
    </row>
    <row r="219" spans="2:16" ht="25.5" customHeight="1">
      <c r="B219" s="18"/>
      <c r="C219" s="18"/>
      <c r="D219" s="18"/>
      <c r="E219" s="791" t="str">
        <f>Translations!$B$1033</f>
        <v>Il s'agit généralement du code d'identification utilisé (le cas échéant) pour le PNA II (plan national d'allocation de quotas) ou pour les NIM (mesures d'exécution nationales), ou de tout autre code d'identification utilisé par l'autorité compétente à des fins de correspondance.</v>
      </c>
      <c r="F219" s="742"/>
      <c r="G219" s="742"/>
      <c r="H219" s="742"/>
      <c r="I219" s="742"/>
      <c r="J219" s="742"/>
      <c r="K219" s="742"/>
      <c r="L219" s="742"/>
      <c r="M219" s="742"/>
      <c r="N219" s="742"/>
      <c r="O219" s="18"/>
      <c r="P219" s="18"/>
    </row>
    <row r="220" spans="2:26" ht="12.75" customHeight="1">
      <c r="B220" s="5"/>
      <c r="C220" s="5"/>
      <c r="D220" s="5"/>
      <c r="E220" s="322" t="s">
        <v>426</v>
      </c>
      <c r="F220" s="824" t="str">
        <f>Translations!$B$1538</f>
        <v>Identificateur unique automatique fourni par l'autorité compétente</v>
      </c>
      <c r="G220" s="824"/>
      <c r="H220" s="824"/>
      <c r="I220" s="825"/>
      <c r="J220" s="826">
        <f>IF(J210,IF(ISBLANK(J56),"",J56),"")</f>
      </c>
      <c r="K220" s="827"/>
      <c r="L220" s="827"/>
      <c r="M220" s="827"/>
      <c r="N220" s="828"/>
      <c r="O220" s="9"/>
      <c r="P220" s="18"/>
      <c r="Q220" s="340"/>
      <c r="Z220" s="440" t="s">
        <v>559</v>
      </c>
    </row>
    <row r="221" spans="2:26" ht="12.75" customHeight="1">
      <c r="B221" s="5"/>
      <c r="C221" s="5"/>
      <c r="D221" s="5"/>
      <c r="E221" s="322" t="s">
        <v>427</v>
      </c>
      <c r="F221" s="822" t="str">
        <f>Translations!$B$1536</f>
        <v>Saisie manuelle (si le nom diffère de celui indiqué en i.).</v>
      </c>
      <c r="G221" s="822"/>
      <c r="H221" s="822"/>
      <c r="I221" s="823"/>
      <c r="J221" s="927"/>
      <c r="K221" s="928"/>
      <c r="L221" s="928"/>
      <c r="M221" s="928"/>
      <c r="N221" s="929"/>
      <c r="O221" s="9"/>
      <c r="P221" s="18"/>
      <c r="Q221" s="340"/>
      <c r="Z221" s="343">
        <f>Z215</f>
      </c>
    </row>
    <row r="222" spans="2:17" ht="12.75" customHeight="1">
      <c r="B222" s="5"/>
      <c r="C222" s="5"/>
      <c r="D222" s="5"/>
      <c r="E222" s="322" t="s">
        <v>428</v>
      </c>
      <c r="F222" s="839" t="str">
        <f>Translations!$B$1539</f>
        <v>Identificateur unique utilisé pour la notification</v>
      </c>
      <c r="G222" s="839"/>
      <c r="H222" s="839"/>
      <c r="I222" s="840"/>
      <c r="J222" s="836">
        <f>IF(J221="",J220,J221)</f>
      </c>
      <c r="K222" s="837"/>
      <c r="L222" s="837"/>
      <c r="M222" s="837"/>
      <c r="N222" s="838"/>
      <c r="O222" s="9"/>
      <c r="P222" s="18"/>
      <c r="Q222" s="340"/>
    </row>
    <row r="223" spans="2:17" ht="4.5" customHeight="1">
      <c r="B223" s="5"/>
      <c r="C223" s="5"/>
      <c r="D223" s="5"/>
      <c r="E223" s="5"/>
      <c r="F223" s="5"/>
      <c r="G223" s="5"/>
      <c r="H223" s="5"/>
      <c r="I223" s="5"/>
      <c r="J223" s="5"/>
      <c r="K223" s="5"/>
      <c r="L223" s="5"/>
      <c r="M223" s="9"/>
      <c r="N223" s="9"/>
      <c r="O223" s="9"/>
      <c r="P223" s="18"/>
      <c r="Q223" s="340"/>
    </row>
    <row r="224" spans="2:26" ht="12.75">
      <c r="B224" s="18"/>
      <c r="C224" s="18"/>
      <c r="D224" s="14" t="s">
        <v>459</v>
      </c>
      <c r="E224" s="743" t="str">
        <f>Translations!$B$352</f>
        <v>Code d'identification de l'installation dans le registre:</v>
      </c>
      <c r="F224" s="742"/>
      <c r="G224" s="742"/>
      <c r="H224" s="742"/>
      <c r="I224" s="818"/>
      <c r="J224" s="832"/>
      <c r="K224" s="833"/>
      <c r="L224" s="833"/>
      <c r="M224" s="833"/>
      <c r="N224" s="834"/>
      <c r="O224" s="18"/>
      <c r="P224" s="18"/>
      <c r="Z224" s="448">
        <f>J210</f>
        <v>0</v>
      </c>
    </row>
    <row r="225" spans="2:16" ht="12.75">
      <c r="B225" s="18"/>
      <c r="C225" s="18"/>
      <c r="D225" s="14"/>
      <c r="E225" s="791" t="str">
        <f>Translations!$B$353</f>
        <v>Il s'agit généralement d'un nombre naturel, c'est-à-dire d'un code différent de l'identificateur d'autorisation utilisé dans le registre.</v>
      </c>
      <c r="F225" s="742"/>
      <c r="G225" s="742"/>
      <c r="H225" s="742"/>
      <c r="I225" s="742"/>
      <c r="J225" s="742"/>
      <c r="K225" s="742"/>
      <c r="L225" s="742"/>
      <c r="M225" s="742"/>
      <c r="N225" s="742"/>
      <c r="O225" s="18"/>
      <c r="P225" s="18"/>
    </row>
    <row r="226" spans="2:16" ht="12.75" customHeight="1">
      <c r="B226" s="18"/>
      <c r="C226" s="18"/>
      <c r="D226" s="14"/>
      <c r="E226" s="791" t="str">
        <f>Translations!$B$1575</f>
        <v>Si vous saisissez manuellement l'identificateur unique utilisé dans le registre au point ii. ci-dessous, le format à utiliser est le suivant: «BE000000000012345»</v>
      </c>
      <c r="F226" s="742"/>
      <c r="G226" s="742"/>
      <c r="H226" s="742"/>
      <c r="I226" s="742"/>
      <c r="J226" s="742"/>
      <c r="K226" s="742"/>
      <c r="L226" s="742"/>
      <c r="M226" s="742"/>
      <c r="N226" s="742"/>
      <c r="O226" s="18"/>
      <c r="P226" s="18"/>
    </row>
    <row r="227" spans="2:17" ht="4.5" customHeight="1">
      <c r="B227" s="5"/>
      <c r="C227" s="5"/>
      <c r="D227" s="5"/>
      <c r="E227" s="5"/>
      <c r="F227" s="5"/>
      <c r="G227" s="5"/>
      <c r="H227" s="5"/>
      <c r="I227" s="5"/>
      <c r="J227" s="5"/>
      <c r="K227" s="5"/>
      <c r="L227" s="5"/>
      <c r="M227" s="9"/>
      <c r="N227" s="9"/>
      <c r="O227" s="9"/>
      <c r="P227" s="18"/>
      <c r="Q227" s="340"/>
    </row>
    <row r="228" spans="2:16" ht="12.75" customHeight="1">
      <c r="B228" s="18"/>
      <c r="C228" s="18"/>
      <c r="D228" s="14"/>
      <c r="E228" s="322" t="s">
        <v>426</v>
      </c>
      <c r="F228" s="824" t="str">
        <f>Translations!$B$1540</f>
        <v>Identificateur unique automatique du registre </v>
      </c>
      <c r="G228" s="824"/>
      <c r="H228" s="824"/>
      <c r="I228" s="825"/>
      <c r="J228" s="826">
        <f>IF(J210,IF(ISBLANK(CNTR_UniqueID),"",CNTR_UniqueID),IF(AND($J$51&lt;&gt;"",J224&lt;&gt;""),CONCATENATE(INDEX(EUconst_MSlistISOcodes,MATCH($J$51,EUconst_MSlist,0)),TEXT(J224,"000000000000000")),""))</f>
      </c>
      <c r="K228" s="827"/>
      <c r="L228" s="827"/>
      <c r="M228" s="827"/>
      <c r="N228" s="828"/>
      <c r="O228" s="18"/>
      <c r="P228" s="215"/>
    </row>
    <row r="229" spans="2:26" ht="12.75" customHeight="1">
      <c r="B229" s="18"/>
      <c r="C229" s="18"/>
      <c r="D229" s="18"/>
      <c r="E229" s="322" t="s">
        <v>427</v>
      </c>
      <c r="F229" s="822" t="str">
        <f>Translations!$B$1541</f>
        <v>Saisie manuelle de l'identificateur unique</v>
      </c>
      <c r="G229" s="822"/>
      <c r="H229" s="822"/>
      <c r="I229" s="823"/>
      <c r="J229" s="829"/>
      <c r="K229" s="830"/>
      <c r="L229" s="830"/>
      <c r="M229" s="830"/>
      <c r="N229" s="831"/>
      <c r="O229" s="18"/>
      <c r="P229" s="18"/>
      <c r="Z229" s="448">
        <f>Z224</f>
        <v>0</v>
      </c>
    </row>
    <row r="230" spans="2:19" ht="12.75" customHeight="1">
      <c r="B230" s="18"/>
      <c r="C230" s="18"/>
      <c r="D230" s="18"/>
      <c r="E230" s="322" t="s">
        <v>428</v>
      </c>
      <c r="F230" s="839" t="str">
        <f>Translations!$B$1542</f>
        <v>Identificateur unique utilisé pour la notification</v>
      </c>
      <c r="G230" s="839"/>
      <c r="H230" s="839"/>
      <c r="I230" s="840"/>
      <c r="J230" s="836">
        <f>IF(J229="",J228,J229)</f>
      </c>
      <c r="K230" s="837"/>
      <c r="L230" s="837"/>
      <c r="M230" s="837"/>
      <c r="N230" s="838"/>
      <c r="O230" s="18"/>
      <c r="P230" s="18"/>
      <c r="R230" s="343">
        <f>C208</f>
        <v>1</v>
      </c>
      <c r="S230" s="344">
        <f>J216</f>
      </c>
    </row>
    <row r="231" spans="2:16" ht="12.75">
      <c r="B231" s="18"/>
      <c r="C231" s="18"/>
      <c r="D231" s="18"/>
      <c r="E231" s="18"/>
      <c r="F231" s="18"/>
      <c r="G231" s="18"/>
      <c r="H231" s="18"/>
      <c r="I231" s="18"/>
      <c r="J231" s="18"/>
      <c r="K231" s="18"/>
      <c r="L231" s="18"/>
      <c r="M231" s="18"/>
      <c r="N231" s="18"/>
      <c r="O231" s="18"/>
      <c r="P231" s="18"/>
    </row>
    <row r="232" spans="2:16" ht="15" customHeight="1">
      <c r="B232" s="18"/>
      <c r="C232" s="16">
        <v>2</v>
      </c>
      <c r="D232" s="817" t="str">
        <f>Translations!$B$1492&amp;" "&amp;C232</f>
        <v>Installation AVANT fusion, scission ou transfert 2</v>
      </c>
      <c r="E232" s="742"/>
      <c r="F232" s="742"/>
      <c r="G232" s="742"/>
      <c r="H232" s="742"/>
      <c r="I232" s="742"/>
      <c r="J232" s="742"/>
      <c r="K232" s="742"/>
      <c r="L232" s="742"/>
      <c r="M232" s="742"/>
      <c r="N232" s="742"/>
      <c r="O232" s="18"/>
      <c r="P232" s="18"/>
    </row>
    <row r="233" spans="2:17" ht="12.75" customHeight="1">
      <c r="B233" s="5"/>
      <c r="C233" s="5"/>
      <c r="D233" s="792" t="str">
        <f>Translations!$B$1543</f>
        <v>S'il n'y a qu'une installation AVANT la fusion, la scission ou le transfert, cette rubrique doit rester vide.</v>
      </c>
      <c r="E233" s="792"/>
      <c r="F233" s="792"/>
      <c r="G233" s="792"/>
      <c r="H233" s="792"/>
      <c r="I233" s="792"/>
      <c r="J233" s="792"/>
      <c r="K233" s="792"/>
      <c r="L233" s="792"/>
      <c r="M233" s="792"/>
      <c r="N233" s="792"/>
      <c r="O233" s="9"/>
      <c r="P233" s="18"/>
      <c r="Q233" s="340"/>
    </row>
    <row r="234" spans="2:17" ht="4.5" customHeight="1">
      <c r="B234" s="5"/>
      <c r="C234" s="5"/>
      <c r="D234" s="5"/>
      <c r="E234" s="5"/>
      <c r="F234" s="5"/>
      <c r="G234" s="5"/>
      <c r="H234" s="5"/>
      <c r="I234" s="5"/>
      <c r="J234" s="5"/>
      <c r="K234" s="5"/>
      <c r="L234" s="5"/>
      <c r="M234" s="9"/>
      <c r="N234" s="9"/>
      <c r="O234" s="9"/>
      <c r="P234" s="18"/>
      <c r="Q234" s="340"/>
    </row>
    <row r="235" spans="2:26" ht="12.75">
      <c r="B235" s="18"/>
      <c r="C235" s="18"/>
      <c r="D235" s="99" t="s">
        <v>463</v>
      </c>
      <c r="E235" s="743" t="str">
        <f>Translations!$B$346</f>
        <v>Dénomination de l'installation:</v>
      </c>
      <c r="F235" s="742"/>
      <c r="G235" s="742"/>
      <c r="H235" s="742"/>
      <c r="I235" s="818"/>
      <c r="J235" s="819"/>
      <c r="K235" s="820"/>
      <c r="L235" s="820"/>
      <c r="M235" s="820"/>
      <c r="N235" s="821"/>
      <c r="O235" s="18"/>
      <c r="P235" s="18"/>
      <c r="Z235" s="448" t="b">
        <f>R15=2</f>
        <v>0</v>
      </c>
    </row>
    <row r="236" spans="2:17" ht="4.5" customHeight="1">
      <c r="B236" s="5"/>
      <c r="C236" s="5"/>
      <c r="D236" s="5"/>
      <c r="E236" s="5"/>
      <c r="F236" s="5"/>
      <c r="G236" s="5"/>
      <c r="H236" s="5"/>
      <c r="I236" s="5"/>
      <c r="J236" s="5"/>
      <c r="K236" s="5"/>
      <c r="L236" s="5"/>
      <c r="M236" s="9"/>
      <c r="N236" s="9"/>
      <c r="O236" s="9"/>
      <c r="P236" s="18"/>
      <c r="Q236" s="340"/>
    </row>
    <row r="237" spans="2:26" ht="12.75">
      <c r="B237" s="18"/>
      <c r="C237" s="18"/>
      <c r="D237" s="14" t="s">
        <v>246</v>
      </c>
      <c r="E237" s="743" t="str">
        <f>Translations!$B$350</f>
        <v>Identificateur unique attribué par l'autorité compétente:</v>
      </c>
      <c r="F237" s="742"/>
      <c r="G237" s="742"/>
      <c r="H237" s="742"/>
      <c r="I237" s="818"/>
      <c r="J237" s="819"/>
      <c r="K237" s="820"/>
      <c r="L237" s="820"/>
      <c r="M237" s="820"/>
      <c r="N237" s="821"/>
      <c r="O237" s="18"/>
      <c r="P237" s="18"/>
      <c r="Z237" s="448" t="b">
        <f>Z235</f>
        <v>0</v>
      </c>
    </row>
    <row r="238" spans="2:16" ht="25.5" customHeight="1">
      <c r="B238" s="18"/>
      <c r="C238" s="18"/>
      <c r="D238" s="18"/>
      <c r="E238" s="791" t="str">
        <f>Translations!$B$1033</f>
        <v>Il s'agit généralement du code d'identification utilisé (le cas échéant) pour le PNA II (plan national d'allocation de quotas) ou pour les NIM (mesures d'exécution nationales), ou de tout autre code d'identification utilisé par l'autorité compétente à des fins de correspondance.</v>
      </c>
      <c r="F238" s="742"/>
      <c r="G238" s="742"/>
      <c r="H238" s="742"/>
      <c r="I238" s="742"/>
      <c r="J238" s="742"/>
      <c r="K238" s="742"/>
      <c r="L238" s="742"/>
      <c r="M238" s="742"/>
      <c r="N238" s="742"/>
      <c r="O238" s="18"/>
      <c r="P238" s="18"/>
    </row>
    <row r="239" spans="2:17" ht="4.5" customHeight="1">
      <c r="B239" s="5"/>
      <c r="C239" s="5"/>
      <c r="D239" s="5"/>
      <c r="E239" s="5"/>
      <c r="F239" s="5"/>
      <c r="G239" s="5"/>
      <c r="H239" s="5"/>
      <c r="I239" s="5"/>
      <c r="J239" s="5"/>
      <c r="K239" s="5"/>
      <c r="L239" s="5"/>
      <c r="M239" s="9"/>
      <c r="N239" s="9"/>
      <c r="O239" s="9"/>
      <c r="P239" s="18"/>
      <c r="Q239" s="340"/>
    </row>
    <row r="240" spans="2:26" ht="12.75">
      <c r="B240" s="18"/>
      <c r="C240" s="18"/>
      <c r="D240" s="14" t="s">
        <v>459</v>
      </c>
      <c r="E240" s="743" t="str">
        <f>Translations!$B$352</f>
        <v>Code d'identification de l'installation dans le registre:</v>
      </c>
      <c r="F240" s="742"/>
      <c r="G240" s="742"/>
      <c r="H240" s="742"/>
      <c r="I240" s="818"/>
      <c r="J240" s="832"/>
      <c r="K240" s="833"/>
      <c r="L240" s="833"/>
      <c r="M240" s="833"/>
      <c r="N240" s="834"/>
      <c r="O240" s="18"/>
      <c r="P240" s="18"/>
      <c r="Z240" s="448" t="b">
        <f>Z237</f>
        <v>0</v>
      </c>
    </row>
    <row r="241" spans="2:16" ht="12.75">
      <c r="B241" s="18"/>
      <c r="C241" s="18"/>
      <c r="D241" s="14"/>
      <c r="E241" s="791" t="str">
        <f>Translations!$B$353</f>
        <v>Il s'agit généralement d'un nombre naturel, c'est-à-dire d'un code différent de l'identificateur d'autorisation utilisé dans le registre.</v>
      </c>
      <c r="F241" s="742"/>
      <c r="G241" s="742"/>
      <c r="H241" s="742"/>
      <c r="I241" s="742"/>
      <c r="J241" s="742"/>
      <c r="K241" s="742"/>
      <c r="L241" s="742"/>
      <c r="M241" s="742"/>
      <c r="N241" s="742"/>
      <c r="O241" s="18"/>
      <c r="P241" s="18"/>
    </row>
    <row r="242" spans="2:16" ht="12.75">
      <c r="B242" s="18"/>
      <c r="C242" s="18"/>
      <c r="D242" s="14"/>
      <c r="E242" s="791" t="str">
        <f>Translations!$B$1575</f>
        <v>Si vous saisissez manuellement l'identificateur unique utilisé dans le registre au point ii. ci-dessous, le format à utiliser est le suivant: «BE000000000012345»</v>
      </c>
      <c r="F242" s="742"/>
      <c r="G242" s="742"/>
      <c r="H242" s="742"/>
      <c r="I242" s="742"/>
      <c r="J242" s="742"/>
      <c r="K242" s="742"/>
      <c r="L242" s="742"/>
      <c r="M242" s="742"/>
      <c r="N242" s="742"/>
      <c r="O242" s="18"/>
      <c r="P242" s="18"/>
    </row>
    <row r="243" spans="2:17" ht="4.5" customHeight="1">
      <c r="B243" s="5"/>
      <c r="C243" s="5"/>
      <c r="D243" s="5"/>
      <c r="E243" s="5"/>
      <c r="F243" s="5"/>
      <c r="G243" s="5"/>
      <c r="H243" s="5"/>
      <c r="I243" s="5"/>
      <c r="J243" s="5"/>
      <c r="K243" s="5"/>
      <c r="L243" s="5"/>
      <c r="M243" s="9"/>
      <c r="N243" s="9"/>
      <c r="O243" s="9"/>
      <c r="P243" s="18"/>
      <c r="Q243" s="340"/>
    </row>
    <row r="244" spans="2:16" ht="12.75" customHeight="1">
      <c r="B244" s="18"/>
      <c r="C244" s="18"/>
      <c r="D244" s="14"/>
      <c r="E244" s="322" t="s">
        <v>426</v>
      </c>
      <c r="F244" s="824" t="str">
        <f>Translations!$B$1544</f>
        <v>Identificateur unique automatique</v>
      </c>
      <c r="G244" s="824"/>
      <c r="H244" s="824"/>
      <c r="I244" s="825"/>
      <c r="J244" s="826">
        <f>IF(AND($J$51&lt;&gt;"",J240&lt;&gt;""),CONCATENATE(INDEX(EUconst_MSlistISOcodes,MATCH($J$51,EUconst_MSlist,0)),TEXT(J240,"000000000000000")),"")</f>
      </c>
      <c r="K244" s="827"/>
      <c r="L244" s="827"/>
      <c r="M244" s="827"/>
      <c r="N244" s="828"/>
      <c r="O244" s="18"/>
      <c r="P244" s="18"/>
    </row>
    <row r="245" spans="2:26" ht="12.75" customHeight="1">
      <c r="B245" s="18"/>
      <c r="C245" s="18"/>
      <c r="D245" s="18"/>
      <c r="E245" s="322" t="s">
        <v>427</v>
      </c>
      <c r="F245" s="822" t="str">
        <f>Translations!$B$1545</f>
        <v>Saisie manuelle (si i. ne convient pas)</v>
      </c>
      <c r="G245" s="822"/>
      <c r="H245" s="822"/>
      <c r="I245" s="823"/>
      <c r="J245" s="829"/>
      <c r="K245" s="830"/>
      <c r="L245" s="830"/>
      <c r="M245" s="830"/>
      <c r="N245" s="831"/>
      <c r="O245" s="18"/>
      <c r="P245" s="18"/>
      <c r="Z245" s="448" t="b">
        <f>Z240</f>
        <v>0</v>
      </c>
    </row>
    <row r="246" spans="2:19" ht="12.75" customHeight="1">
      <c r="B246" s="18"/>
      <c r="C246" s="18"/>
      <c r="D246" s="18"/>
      <c r="E246" s="322" t="s">
        <v>428</v>
      </c>
      <c r="F246" s="839" t="str">
        <f>Translations!$B$1542</f>
        <v>Identificateur unique utilisé pour la notification</v>
      </c>
      <c r="G246" s="839"/>
      <c r="H246" s="839"/>
      <c r="I246" s="840"/>
      <c r="J246" s="836">
        <f>IF(CNTR_MergerORSplitORTransfer=2,J272,IF(J245="",J244,J245))</f>
      </c>
      <c r="K246" s="837"/>
      <c r="L246" s="837"/>
      <c r="M246" s="837"/>
      <c r="N246" s="838"/>
      <c r="O246" s="18"/>
      <c r="P246" s="18"/>
      <c r="R246" s="343">
        <f>C232</f>
        <v>2</v>
      </c>
      <c r="S246" s="496">
        <f>J235</f>
        <v>0</v>
      </c>
    </row>
    <row r="247" spans="2:26" ht="25.5" customHeight="1" thickBot="1">
      <c r="B247" s="5"/>
      <c r="C247" s="345"/>
      <c r="D247" s="345"/>
      <c r="E247" s="369"/>
      <c r="F247" s="369"/>
      <c r="G247" s="369"/>
      <c r="H247" s="369"/>
      <c r="I247" s="370"/>
      <c r="J247" s="374"/>
      <c r="K247" s="345"/>
      <c r="L247" s="345"/>
      <c r="M247" s="345"/>
      <c r="N247" s="345"/>
      <c r="O247" s="323"/>
      <c r="P247" s="18"/>
      <c r="Q247" s="441"/>
      <c r="R247" s="441"/>
      <c r="S247" s="441"/>
      <c r="T247" s="441"/>
      <c r="U247" s="441"/>
      <c r="V247" s="441"/>
      <c r="W247" s="441"/>
      <c r="X247" s="441"/>
      <c r="Y247" s="441"/>
      <c r="Z247" s="441"/>
    </row>
    <row r="248" spans="2:16" ht="12.75">
      <c r="B248" s="18"/>
      <c r="C248" s="18"/>
      <c r="D248" s="18"/>
      <c r="E248" s="18"/>
      <c r="F248" s="18"/>
      <c r="G248" s="18"/>
      <c r="H248" s="18"/>
      <c r="I248" s="18"/>
      <c r="J248" s="18"/>
      <c r="K248" s="18"/>
      <c r="L248" s="18"/>
      <c r="M248" s="18"/>
      <c r="N248" s="18"/>
      <c r="O248" s="18"/>
      <c r="P248" s="18"/>
    </row>
    <row r="249" spans="2:16" ht="15" customHeight="1">
      <c r="B249" s="18"/>
      <c r="C249" s="16">
        <v>3</v>
      </c>
      <c r="D249" s="817" t="str">
        <f>Translations!$B$1493&amp;" "&amp;C249</f>
        <v>Installation APRÈS fusion, scission ou transfert (pour laquelle la présente demande est soumise) 3</v>
      </c>
      <c r="E249" s="742"/>
      <c r="F249" s="742"/>
      <c r="G249" s="742"/>
      <c r="H249" s="742"/>
      <c r="I249" s="742"/>
      <c r="J249" s="742"/>
      <c r="K249" s="742"/>
      <c r="L249" s="742"/>
      <c r="M249" s="742"/>
      <c r="N249" s="742"/>
      <c r="O249" s="18"/>
      <c r="P249" s="18"/>
    </row>
    <row r="250" spans="2:17" ht="12.75" customHeight="1">
      <c r="B250" s="5"/>
      <c r="C250" s="5"/>
      <c r="D250" s="792" t="str">
        <f>Translations!$B$1546</f>
        <v>Remarque: Il s’agit de l’installation pour laquelle la présente demande est soumise. Les données saisies ici sont donc identiques à celles qui figurent dans la section II ci-dessus.</v>
      </c>
      <c r="E250" s="792"/>
      <c r="F250" s="792"/>
      <c r="G250" s="792"/>
      <c r="H250" s="792"/>
      <c r="I250" s="792"/>
      <c r="J250" s="792"/>
      <c r="K250" s="792"/>
      <c r="L250" s="792"/>
      <c r="M250" s="792"/>
      <c r="N250" s="792"/>
      <c r="O250" s="9"/>
      <c r="P250" s="18"/>
      <c r="Q250" s="340"/>
    </row>
    <row r="251" spans="2:17" ht="4.5" customHeight="1">
      <c r="B251" s="5"/>
      <c r="C251" s="5"/>
      <c r="D251" s="5"/>
      <c r="E251" s="5"/>
      <c r="F251" s="5"/>
      <c r="G251" s="5"/>
      <c r="H251" s="5"/>
      <c r="I251" s="5"/>
      <c r="J251" s="5"/>
      <c r="K251" s="5"/>
      <c r="L251" s="5"/>
      <c r="M251" s="9"/>
      <c r="N251" s="9"/>
      <c r="O251" s="9"/>
      <c r="P251" s="18"/>
      <c r="Q251" s="340"/>
    </row>
    <row r="252" spans="2:16" ht="12.75" customHeight="1">
      <c r="B252" s="18"/>
      <c r="C252" s="18"/>
      <c r="D252" s="99" t="s">
        <v>463</v>
      </c>
      <c r="E252" s="743" t="str">
        <f>Translations!$B$346</f>
        <v>Dénomination de l'installation:</v>
      </c>
      <c r="F252" s="742"/>
      <c r="G252" s="742"/>
      <c r="H252" s="742"/>
      <c r="I252" s="818"/>
      <c r="J252" s="836">
        <f>IF(ISBLANK(J48),"",J48)</f>
      </c>
      <c r="K252" s="837"/>
      <c r="L252" s="837"/>
      <c r="M252" s="837"/>
      <c r="N252" s="838"/>
      <c r="O252" s="18"/>
      <c r="P252" s="18"/>
    </row>
    <row r="253" spans="2:17" ht="4.5" customHeight="1">
      <c r="B253" s="5"/>
      <c r="C253" s="5"/>
      <c r="D253" s="5"/>
      <c r="E253" s="5"/>
      <c r="F253" s="5"/>
      <c r="G253" s="5"/>
      <c r="H253" s="5"/>
      <c r="I253" s="5"/>
      <c r="J253" s="5"/>
      <c r="K253" s="5"/>
      <c r="L253" s="5"/>
      <c r="M253" s="9"/>
      <c r="N253" s="9"/>
      <c r="O253" s="9"/>
      <c r="P253" s="18"/>
      <c r="Q253" s="340"/>
    </row>
    <row r="254" spans="2:16" ht="12.75">
      <c r="B254" s="18"/>
      <c r="C254" s="18"/>
      <c r="D254" s="14" t="s">
        <v>246</v>
      </c>
      <c r="E254" s="743" t="str">
        <f>Translations!$B$350</f>
        <v>Identificateur unique attribué par l'autorité compétente:</v>
      </c>
      <c r="F254" s="742"/>
      <c r="G254" s="742"/>
      <c r="H254" s="742"/>
      <c r="I254" s="818"/>
      <c r="J254" s="836">
        <f>IF(ISBLANK(J56),"",J56)</f>
      </c>
      <c r="K254" s="837"/>
      <c r="L254" s="837"/>
      <c r="M254" s="837"/>
      <c r="N254" s="838"/>
      <c r="O254" s="18"/>
      <c r="P254" s="18"/>
    </row>
    <row r="255" spans="2:17" ht="4.5" customHeight="1">
      <c r="B255" s="5"/>
      <c r="C255" s="5"/>
      <c r="D255" s="5"/>
      <c r="E255" s="5"/>
      <c r="F255" s="5"/>
      <c r="G255" s="5"/>
      <c r="H255" s="5"/>
      <c r="I255" s="5"/>
      <c r="J255" s="5"/>
      <c r="K255" s="5"/>
      <c r="L255" s="5"/>
      <c r="M255" s="9"/>
      <c r="N255" s="9"/>
      <c r="O255" s="9"/>
      <c r="P255" s="18"/>
      <c r="Q255" s="340"/>
    </row>
    <row r="256" spans="2:19" ht="12.75" customHeight="1">
      <c r="B256" s="18"/>
      <c r="C256" s="18"/>
      <c r="D256" s="14" t="s">
        <v>459</v>
      </c>
      <c r="E256" s="743" t="str">
        <f>Translations!$B$354</f>
        <v>Identificateur unique proposé aux fins de la notification à la Commission:</v>
      </c>
      <c r="F256" s="742"/>
      <c r="G256" s="742"/>
      <c r="H256" s="742"/>
      <c r="I256" s="818"/>
      <c r="J256" s="835">
        <f>CNTR_UniqueID</f>
      </c>
      <c r="K256" s="835"/>
      <c r="L256" s="835"/>
      <c r="M256" s="835"/>
      <c r="N256" s="835"/>
      <c r="O256" s="18"/>
      <c r="P256" s="18"/>
      <c r="R256" s="343">
        <f>C249</f>
        <v>3</v>
      </c>
      <c r="S256" s="344">
        <f>J252</f>
      </c>
    </row>
    <row r="257" spans="2:16" ht="12.75">
      <c r="B257" s="18"/>
      <c r="C257" s="18"/>
      <c r="D257" s="18"/>
      <c r="E257" s="18"/>
      <c r="F257" s="18"/>
      <c r="G257" s="18"/>
      <c r="H257" s="18"/>
      <c r="I257" s="18"/>
      <c r="J257" s="18"/>
      <c r="K257" s="18"/>
      <c r="L257" s="18"/>
      <c r="M257" s="18"/>
      <c r="N257" s="18"/>
      <c r="O257" s="18"/>
      <c r="P257" s="18"/>
    </row>
    <row r="258" spans="2:16" ht="15" customHeight="1">
      <c r="B258" s="18"/>
      <c r="C258" s="16">
        <v>4</v>
      </c>
      <c r="D258" s="817" t="str">
        <f>Translations!$B$1494&amp;" "&amp;C258</f>
        <v>Installation APRÈS fusion, scission ou transfert 4</v>
      </c>
      <c r="E258" s="742"/>
      <c r="F258" s="742"/>
      <c r="G258" s="742"/>
      <c r="H258" s="742"/>
      <c r="I258" s="742"/>
      <c r="J258" s="742"/>
      <c r="K258" s="742"/>
      <c r="L258" s="742"/>
      <c r="M258" s="742"/>
      <c r="N258" s="742"/>
      <c r="O258" s="18"/>
      <c r="P258" s="18"/>
    </row>
    <row r="259" spans="2:17" ht="12.75" customHeight="1">
      <c r="B259" s="5"/>
      <c r="C259" s="5"/>
      <c r="D259" s="792" t="str">
        <f>Translations!$B$1547</f>
        <v>S'il n'y a qu'une installation APRÈS la fusion, la scission ou le transfert, cette rubrique doit rester vide.</v>
      </c>
      <c r="E259" s="792"/>
      <c r="F259" s="792"/>
      <c r="G259" s="792"/>
      <c r="H259" s="792"/>
      <c r="I259" s="792"/>
      <c r="J259" s="792"/>
      <c r="K259" s="792"/>
      <c r="L259" s="792"/>
      <c r="M259" s="792"/>
      <c r="N259" s="792"/>
      <c r="O259" s="9"/>
      <c r="P259" s="18"/>
      <c r="Q259" s="340"/>
    </row>
    <row r="260" spans="2:17" ht="4.5" customHeight="1">
      <c r="B260" s="5"/>
      <c r="C260" s="5"/>
      <c r="D260" s="5"/>
      <c r="E260" s="5"/>
      <c r="F260" s="5"/>
      <c r="G260" s="5"/>
      <c r="H260" s="5"/>
      <c r="I260" s="5"/>
      <c r="J260" s="5"/>
      <c r="K260" s="5"/>
      <c r="L260" s="5"/>
      <c r="M260" s="9"/>
      <c r="N260" s="9"/>
      <c r="O260" s="9"/>
      <c r="P260" s="18"/>
      <c r="Q260" s="340"/>
    </row>
    <row r="261" spans="2:26" ht="12.75">
      <c r="B261" s="18"/>
      <c r="C261" s="18"/>
      <c r="D261" s="99" t="s">
        <v>463</v>
      </c>
      <c r="E261" s="743" t="str">
        <f>Translations!$B$346</f>
        <v>Dénomination de l'installation:</v>
      </c>
      <c r="F261" s="742"/>
      <c r="G261" s="742"/>
      <c r="H261" s="742"/>
      <c r="I261" s="818"/>
      <c r="J261" s="819"/>
      <c r="K261" s="820"/>
      <c r="L261" s="820"/>
      <c r="M261" s="820"/>
      <c r="N261" s="821"/>
      <c r="O261" s="18"/>
      <c r="P261" s="18"/>
      <c r="Z261" s="448" t="b">
        <f>R15=1</f>
        <v>0</v>
      </c>
    </row>
    <row r="262" spans="2:17" ht="4.5" customHeight="1">
      <c r="B262" s="5"/>
      <c r="C262" s="5"/>
      <c r="D262" s="5"/>
      <c r="E262" s="5"/>
      <c r="F262" s="5"/>
      <c r="G262" s="5"/>
      <c r="H262" s="5"/>
      <c r="I262" s="5"/>
      <c r="J262" s="5"/>
      <c r="K262" s="5"/>
      <c r="L262" s="5"/>
      <c r="M262" s="9"/>
      <c r="N262" s="9"/>
      <c r="O262" s="9"/>
      <c r="P262" s="18"/>
      <c r="Q262" s="340"/>
    </row>
    <row r="263" spans="2:26" ht="12.75">
      <c r="B263" s="18"/>
      <c r="C263" s="18"/>
      <c r="D263" s="14" t="s">
        <v>246</v>
      </c>
      <c r="E263" s="743" t="str">
        <f>Translations!$B$350</f>
        <v>Identificateur unique attribué par l'autorité compétente:</v>
      </c>
      <c r="F263" s="742"/>
      <c r="G263" s="742"/>
      <c r="H263" s="742"/>
      <c r="I263" s="818"/>
      <c r="J263" s="819"/>
      <c r="K263" s="820"/>
      <c r="L263" s="820"/>
      <c r="M263" s="820"/>
      <c r="N263" s="821"/>
      <c r="O263" s="18"/>
      <c r="P263" s="18"/>
      <c r="Z263" s="448" t="b">
        <f>Z261</f>
        <v>0</v>
      </c>
    </row>
    <row r="264" spans="2:16" ht="25.5" customHeight="1">
      <c r="B264" s="18"/>
      <c r="C264" s="18"/>
      <c r="D264" s="18"/>
      <c r="E264" s="791" t="str">
        <f>Translations!$B$1033</f>
        <v>Il s'agit généralement du code d'identification utilisé (le cas échéant) pour le PNA II (plan national d'allocation de quotas) ou pour les NIM (mesures d'exécution nationales), ou de tout autre code d'identification utilisé par l'autorité compétente à des fins de correspondance.</v>
      </c>
      <c r="F264" s="742"/>
      <c r="G264" s="742"/>
      <c r="H264" s="742"/>
      <c r="I264" s="742"/>
      <c r="J264" s="742"/>
      <c r="K264" s="742"/>
      <c r="L264" s="742"/>
      <c r="M264" s="742"/>
      <c r="N264" s="742"/>
      <c r="O264" s="18"/>
      <c r="P264" s="18"/>
    </row>
    <row r="265" spans="2:17" ht="4.5" customHeight="1">
      <c r="B265" s="5"/>
      <c r="C265" s="5"/>
      <c r="D265" s="5"/>
      <c r="E265" s="5"/>
      <c r="F265" s="5"/>
      <c r="G265" s="5"/>
      <c r="H265" s="5"/>
      <c r="I265" s="5"/>
      <c r="J265" s="5"/>
      <c r="K265" s="5"/>
      <c r="L265" s="5"/>
      <c r="M265" s="9"/>
      <c r="N265" s="9"/>
      <c r="O265" s="9"/>
      <c r="P265" s="18"/>
      <c r="Q265" s="340"/>
    </row>
    <row r="266" spans="2:26" ht="12.75">
      <c r="B266" s="18"/>
      <c r="C266" s="18"/>
      <c r="D266" s="14" t="s">
        <v>459</v>
      </c>
      <c r="E266" s="743" t="str">
        <f>Translations!$B$352</f>
        <v>Code d'identification de l'installation dans le registre:</v>
      </c>
      <c r="F266" s="742"/>
      <c r="G266" s="742"/>
      <c r="H266" s="742"/>
      <c r="I266" s="818"/>
      <c r="J266" s="832"/>
      <c r="K266" s="833"/>
      <c r="L266" s="833"/>
      <c r="M266" s="833"/>
      <c r="N266" s="834"/>
      <c r="O266" s="18"/>
      <c r="P266" s="18"/>
      <c r="Z266" s="448" t="b">
        <f>Z263</f>
        <v>0</v>
      </c>
    </row>
    <row r="267" spans="2:16" ht="12.75">
      <c r="B267" s="18"/>
      <c r="C267" s="18"/>
      <c r="D267" s="14"/>
      <c r="E267" s="791" t="str">
        <f>Translations!$B$353</f>
        <v>Il s'agit généralement d'un nombre naturel, c'est-à-dire d'un code différent de l'identificateur d'autorisation utilisé dans le registre.</v>
      </c>
      <c r="F267" s="742"/>
      <c r="G267" s="742"/>
      <c r="H267" s="742"/>
      <c r="I267" s="742"/>
      <c r="J267" s="742"/>
      <c r="K267" s="742"/>
      <c r="L267" s="742"/>
      <c r="M267" s="742"/>
      <c r="N267" s="742"/>
      <c r="O267" s="18"/>
      <c r="P267" s="18"/>
    </row>
    <row r="268" spans="2:16" ht="12.75">
      <c r="B268" s="18"/>
      <c r="C268" s="18"/>
      <c r="D268" s="14"/>
      <c r="E268" s="791" t="str">
        <f>Translations!$B$1575</f>
        <v>Si vous saisissez manuellement l'identificateur unique utilisé dans le registre au point ii. ci-dessous, le format à utiliser est le suivant: «BE000000000012345»</v>
      </c>
      <c r="F268" s="742"/>
      <c r="G268" s="742"/>
      <c r="H268" s="742"/>
      <c r="I268" s="742"/>
      <c r="J268" s="742"/>
      <c r="K268" s="742"/>
      <c r="L268" s="742"/>
      <c r="M268" s="742"/>
      <c r="N268" s="742"/>
      <c r="O268" s="18"/>
      <c r="P268" s="18"/>
    </row>
    <row r="269" spans="2:17" ht="4.5" customHeight="1">
      <c r="B269" s="5"/>
      <c r="C269" s="5"/>
      <c r="D269" s="5"/>
      <c r="E269" s="5"/>
      <c r="F269" s="5"/>
      <c r="G269" s="5"/>
      <c r="H269" s="5"/>
      <c r="I269" s="5"/>
      <c r="J269" s="5"/>
      <c r="K269" s="5"/>
      <c r="L269" s="5"/>
      <c r="M269" s="9"/>
      <c r="N269" s="9"/>
      <c r="O269" s="9"/>
      <c r="P269" s="18"/>
      <c r="Q269" s="340"/>
    </row>
    <row r="270" spans="2:16" ht="12.75" customHeight="1">
      <c r="B270" s="18"/>
      <c r="C270" s="18"/>
      <c r="D270" s="14"/>
      <c r="E270" s="322" t="s">
        <v>426</v>
      </c>
      <c r="F270" s="824" t="str">
        <f>Translations!$B$1544</f>
        <v>Identificateur unique automatique</v>
      </c>
      <c r="G270" s="824"/>
      <c r="H270" s="824"/>
      <c r="I270" s="825"/>
      <c r="J270" s="826">
        <f>IF(AND($J$51&lt;&gt;"",J266&lt;&gt;""),CONCATENATE(INDEX(EUconst_MSlistISOcodes,MATCH($J$51,EUconst_MSlist,0)),TEXT(J266,"000000000000000")),"")</f>
      </c>
      <c r="K270" s="827"/>
      <c r="L270" s="827"/>
      <c r="M270" s="827"/>
      <c r="N270" s="828"/>
      <c r="O270" s="18"/>
      <c r="P270" s="18"/>
    </row>
    <row r="271" spans="2:26" ht="12.75" customHeight="1">
      <c r="B271" s="18"/>
      <c r="C271" s="18"/>
      <c r="D271" s="18"/>
      <c r="E271" s="322" t="s">
        <v>427</v>
      </c>
      <c r="F271" s="822" t="str">
        <f>Translations!$B$1545</f>
        <v>Saisie manuelle (si i. ne convient pas)</v>
      </c>
      <c r="G271" s="822"/>
      <c r="H271" s="822"/>
      <c r="I271" s="823"/>
      <c r="J271" s="829"/>
      <c r="K271" s="830"/>
      <c r="L271" s="830"/>
      <c r="M271" s="830"/>
      <c r="N271" s="831"/>
      <c r="O271" s="18"/>
      <c r="P271" s="18"/>
      <c r="Z271" s="448" t="b">
        <f>Z266</f>
        <v>0</v>
      </c>
    </row>
    <row r="272" spans="2:19" ht="12.75" customHeight="1">
      <c r="B272" s="18"/>
      <c r="C272" s="18"/>
      <c r="D272" s="18"/>
      <c r="E272" s="322" t="s">
        <v>428</v>
      </c>
      <c r="F272" s="839" t="str">
        <f>Translations!$B$1542</f>
        <v>Identificateur unique utilisé pour la notification</v>
      </c>
      <c r="G272" s="839"/>
      <c r="H272" s="839"/>
      <c r="I272" s="840"/>
      <c r="J272" s="836">
        <f>IF(CNTR_MergerORSplitORTransfer=1,J246,IF(J271="",J270,J271))</f>
      </c>
      <c r="K272" s="837"/>
      <c r="L272" s="837"/>
      <c r="M272" s="837"/>
      <c r="N272" s="838"/>
      <c r="O272" s="18"/>
      <c r="P272" s="18"/>
      <c r="R272" s="343">
        <f>C258</f>
        <v>4</v>
      </c>
      <c r="S272" s="496">
        <f>J261</f>
        <v>0</v>
      </c>
    </row>
    <row r="273" spans="2:16" ht="38.25" customHeight="1">
      <c r="B273" s="18"/>
      <c r="C273" s="18"/>
      <c r="D273" s="18"/>
      <c r="E273" s="18"/>
      <c r="F273" s="18"/>
      <c r="G273" s="18"/>
      <c r="H273" s="18"/>
      <c r="I273" s="18"/>
      <c r="J273" s="18"/>
      <c r="K273" s="18"/>
      <c r="L273" s="18"/>
      <c r="M273" s="18"/>
      <c r="N273" s="18"/>
      <c r="O273" s="18"/>
      <c r="P273" s="18"/>
    </row>
    <row r="274" spans="2:18" ht="12.75" customHeight="1">
      <c r="B274" s="18"/>
      <c r="C274" s="18"/>
      <c r="D274" s="779" t="str">
        <f>HYPERLINK(R274,Translations!$B$336)</f>
        <v>&lt;&lt;&lt; Cliquer ici pour passer à la feuille suivante &gt;&gt;&gt; </v>
      </c>
      <c r="E274" s="780"/>
      <c r="F274" s="780"/>
      <c r="G274" s="780"/>
      <c r="H274" s="780"/>
      <c r="I274" s="780"/>
      <c r="J274" s="780"/>
      <c r="K274" s="780"/>
      <c r="L274" s="780"/>
      <c r="M274" s="780"/>
      <c r="N274" s="780"/>
      <c r="O274" s="18"/>
      <c r="P274" s="18"/>
      <c r="R274" s="451" t="str">
        <f>$W$2</f>
        <v>#B_InitialSituation!$C$6</v>
      </c>
    </row>
    <row r="275" spans="2:16" ht="12.75">
      <c r="B275" s="18"/>
      <c r="C275" s="18"/>
      <c r="D275" s="18"/>
      <c r="E275" s="18"/>
      <c r="F275" s="18"/>
      <c r="G275" s="18"/>
      <c r="H275" s="18"/>
      <c r="I275" s="18"/>
      <c r="J275" s="18"/>
      <c r="K275" s="18"/>
      <c r="L275" s="18"/>
      <c r="M275" s="18"/>
      <c r="N275" s="18"/>
      <c r="O275" s="18"/>
      <c r="P275" s="18"/>
    </row>
    <row r="276" spans="1:26" ht="12.75" hidden="1">
      <c r="A276" s="4" t="s">
        <v>486</v>
      </c>
      <c r="B276" s="4" t="s">
        <v>72</v>
      </c>
      <c r="C276" s="4" t="s">
        <v>72</v>
      </c>
      <c r="D276" s="4" t="s">
        <v>72</v>
      </c>
      <c r="E276" s="4" t="s">
        <v>72</v>
      </c>
      <c r="F276" s="4" t="s">
        <v>72</v>
      </c>
      <c r="G276" s="4"/>
      <c r="H276" s="4" t="s">
        <v>72</v>
      </c>
      <c r="I276" s="4" t="s">
        <v>72</v>
      </c>
      <c r="J276" s="4" t="s">
        <v>72</v>
      </c>
      <c r="K276" s="4" t="s">
        <v>72</v>
      </c>
      <c r="L276" s="4" t="s">
        <v>72</v>
      </c>
      <c r="M276" s="4" t="s">
        <v>72</v>
      </c>
      <c r="N276" s="4" t="s">
        <v>72</v>
      </c>
      <c r="O276" s="4" t="s">
        <v>72</v>
      </c>
      <c r="P276" s="4"/>
      <c r="Q276" s="334" t="s">
        <v>72</v>
      </c>
      <c r="R276" s="334" t="s">
        <v>72</v>
      </c>
      <c r="S276" s="334" t="s">
        <v>72</v>
      </c>
      <c r="T276" s="334" t="s">
        <v>72</v>
      </c>
      <c r="U276" s="334" t="s">
        <v>72</v>
      </c>
      <c r="V276" s="334" t="s">
        <v>72</v>
      </c>
      <c r="W276" s="334" t="s">
        <v>72</v>
      </c>
      <c r="X276" s="334" t="s">
        <v>72</v>
      </c>
      <c r="Z276" s="334" t="s">
        <v>72</v>
      </c>
    </row>
    <row r="277" spans="1:16" ht="12.75" hidden="1">
      <c r="A277" s="4" t="s">
        <v>486</v>
      </c>
      <c r="B277" s="3"/>
      <c r="C277" s="3"/>
      <c r="D277" s="3"/>
      <c r="E277" s="3"/>
      <c r="F277" s="3"/>
      <c r="G277" s="3"/>
      <c r="H277" s="3"/>
      <c r="I277" s="3"/>
      <c r="J277" s="3"/>
      <c r="K277" s="3"/>
      <c r="L277" s="3"/>
      <c r="M277" s="3"/>
      <c r="N277" s="3"/>
      <c r="O277" s="3"/>
      <c r="P277" s="3"/>
    </row>
    <row r="278" spans="1:16" ht="13.5" hidden="1" thickBot="1">
      <c r="A278" s="4" t="s">
        <v>486</v>
      </c>
      <c r="B278" s="3"/>
      <c r="C278" s="3"/>
      <c r="D278" s="27"/>
      <c r="E278" s="3"/>
      <c r="F278" s="3"/>
      <c r="G278" s="3"/>
      <c r="H278" s="3"/>
      <c r="I278" s="3"/>
      <c r="J278" s="3"/>
      <c r="K278" s="3"/>
      <c r="L278" s="3"/>
      <c r="M278" s="3"/>
      <c r="N278" s="3"/>
      <c r="O278" s="3"/>
      <c r="P278" s="3"/>
    </row>
    <row r="279" spans="1:16" ht="12.75" hidden="1">
      <c r="A279" s="4" t="s">
        <v>486</v>
      </c>
      <c r="B279" s="3"/>
      <c r="C279" s="3"/>
      <c r="D279" s="27"/>
      <c r="E279" s="81"/>
      <c r="F279" s="35"/>
      <c r="G279" s="35"/>
      <c r="H279" s="35"/>
      <c r="I279" s="35"/>
      <c r="J279" s="35"/>
      <c r="K279" s="35"/>
      <c r="L279" s="35"/>
      <c r="M279" s="35"/>
      <c r="N279" s="36"/>
      <c r="O279" s="3"/>
      <c r="P279" s="3"/>
    </row>
    <row r="280" spans="1:16" ht="13.5" hidden="1" thickBot="1">
      <c r="A280" s="4" t="s">
        <v>486</v>
      </c>
      <c r="B280" s="3"/>
      <c r="C280" s="3"/>
      <c r="D280" s="3"/>
      <c r="E280" s="357" t="s">
        <v>247</v>
      </c>
      <c r="F280" s="358"/>
      <c r="G280" s="358"/>
      <c r="H280" s="358"/>
      <c r="I280" s="359">
        <v>1</v>
      </c>
      <c r="J280" s="359">
        <v>2</v>
      </c>
      <c r="K280" s="359">
        <v>3</v>
      </c>
      <c r="L280" s="359">
        <v>4</v>
      </c>
      <c r="M280" s="359">
        <v>5</v>
      </c>
      <c r="N280" s="360">
        <v>6</v>
      </c>
      <c r="O280" s="3"/>
      <c r="P280" s="3"/>
    </row>
    <row r="281" spans="1:16" ht="13.5" hidden="1" thickBot="1">
      <c r="A281" s="4" t="s">
        <v>486</v>
      </c>
      <c r="B281" s="3"/>
      <c r="C281" s="3"/>
      <c r="D281" s="3"/>
      <c r="E281" s="3"/>
      <c r="F281" s="3"/>
      <c r="G281" s="3"/>
      <c r="H281" s="3"/>
      <c r="I281" s="27"/>
      <c r="J281" s="318"/>
      <c r="K281" s="318"/>
      <c r="L281" s="27"/>
      <c r="M281" s="27"/>
      <c r="N281" s="27"/>
      <c r="O281" s="3"/>
      <c r="P281" s="3"/>
    </row>
    <row r="282" spans="1:16" ht="13.5" hidden="1" thickBot="1">
      <c r="A282" s="4" t="s">
        <v>486</v>
      </c>
      <c r="B282" s="3"/>
      <c r="C282" s="3"/>
      <c r="D282" s="3"/>
      <c r="E282" s="27" t="s">
        <v>84</v>
      </c>
      <c r="F282" s="3"/>
      <c r="G282" s="204" t="b">
        <f>COUNTA(E13,L15,L18,M18,N18,N26,E32,E36)&gt;0</f>
        <v>0</v>
      </c>
      <c r="H282" s="3" t="s">
        <v>85</v>
      </c>
      <c r="I282" s="27"/>
      <c r="J282" s="318"/>
      <c r="K282" s="318"/>
      <c r="L282" s="27"/>
      <c r="M282" s="27"/>
      <c r="N282" s="27"/>
      <c r="O282" s="3"/>
      <c r="P282" s="3"/>
    </row>
    <row r="283" spans="1:16" ht="13.5" hidden="1" thickBot="1">
      <c r="A283" s="4" t="s">
        <v>486</v>
      </c>
      <c r="B283" s="3"/>
      <c r="C283" s="3"/>
      <c r="D283" s="3"/>
      <c r="E283" s="27" t="s">
        <v>558</v>
      </c>
      <c r="F283" s="3"/>
      <c r="G283" s="204" t="b">
        <f>(COUNTA(E13,L15,L18,M18,N18,N26,E32,E36)+COUNTA(J48,J51,J54,J56,J61,J69,J72,J73,J76,J77,J81,J82,J83,J84,J85,J86,J87,J88,J89,J92,J93,J94,J95,J101,J102,J103)+COUNTA(J104,J107,J108,J109,J110,F117,F118,F119,F120,F121,L131,L132,L144))&gt;0</f>
        <v>0</v>
      </c>
      <c r="H283" s="3" t="s">
        <v>85</v>
      </c>
      <c r="I283" s="27"/>
      <c r="J283" s="27"/>
      <c r="K283" s="27"/>
      <c r="L283" s="27"/>
      <c r="M283" s="27"/>
      <c r="N283" s="27"/>
      <c r="O283" s="3"/>
      <c r="P283" s="3"/>
    </row>
    <row r="284" spans="1:16" ht="12.75" hidden="1">
      <c r="A284" s="4" t="s">
        <v>486</v>
      </c>
      <c r="B284" s="3"/>
      <c r="C284" s="3"/>
      <c r="D284" s="3"/>
      <c r="E284" s="3"/>
      <c r="F284" s="3"/>
      <c r="G284" s="3"/>
      <c r="H284" s="3"/>
      <c r="I284" s="27"/>
      <c r="J284" s="27"/>
      <c r="K284" s="27"/>
      <c r="L284" s="27"/>
      <c r="M284" s="27"/>
      <c r="N284" s="27"/>
      <c r="O284" s="3"/>
      <c r="P284" s="3"/>
    </row>
    <row r="285" spans="1:16" ht="12.75" hidden="1">
      <c r="A285" s="4" t="s">
        <v>486</v>
      </c>
      <c r="B285" s="3"/>
      <c r="C285" s="3"/>
      <c r="D285" s="3"/>
      <c r="E285" s="3"/>
      <c r="F285" s="3"/>
      <c r="G285" s="3"/>
      <c r="H285" s="3"/>
      <c r="I285" s="27"/>
      <c r="J285" s="27"/>
      <c r="K285" s="27"/>
      <c r="L285" s="27"/>
      <c r="M285" s="27"/>
      <c r="N285" s="27"/>
      <c r="O285" s="3"/>
      <c r="P285" s="3"/>
    </row>
    <row r="286" spans="1:16" ht="12.75" hidden="1">
      <c r="A286" s="4" t="s">
        <v>486</v>
      </c>
      <c r="B286" s="3"/>
      <c r="C286" s="3"/>
      <c r="D286" s="3"/>
      <c r="E286" s="3" t="s">
        <v>147</v>
      </c>
      <c r="F286" s="3"/>
      <c r="G286" s="3"/>
      <c r="H286" s="3"/>
      <c r="I286" s="3"/>
      <c r="J286" s="3"/>
      <c r="K286" s="3"/>
      <c r="L286" s="3"/>
      <c r="M286" s="3"/>
      <c r="N286" s="3"/>
      <c r="O286" s="3"/>
      <c r="P286" s="3"/>
    </row>
    <row r="287" spans="1:16" ht="12.75" hidden="1">
      <c r="A287" s="4" t="s">
        <v>486</v>
      </c>
      <c r="B287" s="3"/>
      <c r="C287" s="3"/>
      <c r="D287" s="3"/>
      <c r="E287" s="3" t="s">
        <v>148</v>
      </c>
      <c r="F287" s="3"/>
      <c r="G287" s="28"/>
      <c r="H287" s="3"/>
      <c r="I287" s="3"/>
      <c r="J287" s="192"/>
      <c r="K287" s="3"/>
      <c r="L287" s="3"/>
      <c r="M287" s="3"/>
      <c r="N287" s="3"/>
      <c r="O287" s="3"/>
      <c r="P287" s="3"/>
    </row>
    <row r="288" spans="1:16" ht="12.75" hidden="1">
      <c r="A288" s="4" t="s">
        <v>486</v>
      </c>
      <c r="B288" s="3"/>
      <c r="C288" s="3"/>
      <c r="D288" s="3"/>
      <c r="E288" s="3"/>
      <c r="F288" s="3"/>
      <c r="G288" s="3"/>
      <c r="H288" s="3"/>
      <c r="I288" s="3"/>
      <c r="J288" s="3"/>
      <c r="K288" s="3"/>
      <c r="L288" s="3"/>
      <c r="M288" s="3"/>
      <c r="N288" s="3"/>
      <c r="O288" s="3"/>
      <c r="P288" s="3"/>
    </row>
    <row r="289" spans="1:16" ht="13.5" hidden="1" thickBot="1">
      <c r="A289" s="4" t="s">
        <v>486</v>
      </c>
      <c r="B289" s="3"/>
      <c r="C289" s="3"/>
      <c r="D289" s="3"/>
      <c r="E289" s="27" t="s">
        <v>479</v>
      </c>
      <c r="F289" s="3"/>
      <c r="G289" s="3"/>
      <c r="H289" s="3"/>
      <c r="I289" s="3"/>
      <c r="J289" s="3"/>
      <c r="K289" s="3"/>
      <c r="L289" s="3"/>
      <c r="M289" s="3"/>
      <c r="N289" s="3"/>
      <c r="O289" s="3"/>
      <c r="P289" s="3"/>
    </row>
    <row r="290" spans="1:16" ht="12.75" hidden="1">
      <c r="A290" s="4" t="s">
        <v>486</v>
      </c>
      <c r="B290" s="3"/>
      <c r="C290" s="3"/>
      <c r="D290" s="3"/>
      <c r="E290" s="48"/>
      <c r="F290" s="46" t="s">
        <v>480</v>
      </c>
      <c r="G290" s="51" t="s">
        <v>481</v>
      </c>
      <c r="H290" s="46" t="s">
        <v>482</v>
      </c>
      <c r="I290" s="46"/>
      <c r="J290" s="219" t="s">
        <v>415</v>
      </c>
      <c r="K290" s="219" t="s">
        <v>431</v>
      </c>
      <c r="L290" s="54"/>
      <c r="M290" s="46"/>
      <c r="N290" s="47"/>
      <c r="O290" s="3"/>
      <c r="P290" s="3"/>
    </row>
    <row r="291" spans="1:16" ht="12.75" hidden="1">
      <c r="A291" s="4" t="s">
        <v>486</v>
      </c>
      <c r="B291" s="3"/>
      <c r="C291" s="3"/>
      <c r="D291" s="3"/>
      <c r="E291" s="58">
        <v>0</v>
      </c>
      <c r="F291" s="59"/>
      <c r="G291" s="60"/>
      <c r="H291" s="61" t="str">
        <f>EUconst_WithinInst</f>
        <v>Au sein de l'installation</v>
      </c>
      <c r="I291" s="59"/>
      <c r="J291" s="21"/>
      <c r="K291" s="21"/>
      <c r="L291" s="57"/>
      <c r="M291" s="59"/>
      <c r="N291" s="62"/>
      <c r="O291" s="3"/>
      <c r="P291" s="3"/>
    </row>
    <row r="292" spans="1:16" ht="12.75" hidden="1">
      <c r="A292" s="4" t="s">
        <v>486</v>
      </c>
      <c r="B292" s="3"/>
      <c r="C292" s="3"/>
      <c r="D292" s="3"/>
      <c r="E292" s="49">
        <v>1</v>
      </c>
      <c r="F292" s="39" t="str">
        <f aca="true" t="shared" si="3" ref="F292:F301">IF(ISNUMBER(MATCH($E292,$R$172:$R$181,0)),MATCH($E292,$R$172:$R$181,0),EUconst_NA)</f>
        <v>Sans objet</v>
      </c>
      <c r="G292" s="52" t="str">
        <f aca="true" t="shared" si="4" ref="G292:G301">IF(AND(ISNUMBER($F292),NOT(ISBLANK(INDEX($K$172:$K$181,$F292)))),INDEX(EUconst_ConnectionShortTypes,MATCH(INDEX($K$172:$K$181,$F292),EUconst_ConnectionTypes,0)),EUconst_NA)</f>
        <v>Sans objet</v>
      </c>
      <c r="H292" s="40" t="str">
        <f aca="true" t="shared" si="5" ref="H292:H301">IF(NOT(ISNUMBER(F292)),EUconst_NA,CONCATENATE(INDEX($F$172:$F$181,$F292),": ",G292," ",IF(ISBLANK(INDEX($M$172:$M$181,$F292)),EUconst_NA,INDEX($M$172:$M$181,$F292))))</f>
        <v>Sans objet</v>
      </c>
      <c r="I292" s="3"/>
      <c r="J292" s="217">
        <f>IF(ISNUMBER($F292),IF(ISBLANK(INDEX($F$188:$F$197,$F292)),"",INDEX($F$188:$F$197,$F292)),"")</f>
      </c>
      <c r="K292" s="217">
        <f>IF(ISNUMBER($F292),IF(ISBLANK(INDEX($I$172:$I$181,$F292)),"",INDEX($I$172:$I$181,$F292)),"")</f>
      </c>
      <c r="L292" s="55"/>
      <c r="M292" s="3"/>
      <c r="N292" s="41"/>
      <c r="O292" s="3"/>
      <c r="P292" s="3"/>
    </row>
    <row r="293" spans="1:16" ht="12.75" hidden="1">
      <c r="A293" s="4" t="s">
        <v>486</v>
      </c>
      <c r="B293" s="3"/>
      <c r="C293" s="3"/>
      <c r="D293" s="3"/>
      <c r="E293" s="49">
        <f>E292+1</f>
        <v>2</v>
      </c>
      <c r="F293" s="39" t="str">
        <f t="shared" si="3"/>
        <v>Sans objet</v>
      </c>
      <c r="G293" s="52" t="str">
        <f t="shared" si="4"/>
        <v>Sans objet</v>
      </c>
      <c r="H293" s="40" t="str">
        <f t="shared" si="5"/>
        <v>Sans objet</v>
      </c>
      <c r="I293" s="3"/>
      <c r="J293" s="217">
        <f aca="true" t="shared" si="6" ref="J293:J301">IF(ISNUMBER($F293),IF(ISBLANK(INDEX($F$188:$F$197,$F293)),"",INDEX($F$188:$F$197,$F293)),"")</f>
      </c>
      <c r="K293" s="217">
        <f aca="true" t="shared" si="7" ref="K293:K301">IF(ISNUMBER($F293),IF(ISBLANK(INDEX($I$172:$I$181,$F293)),"",INDEX($I$172:$I$181,$F293)),"")</f>
      </c>
      <c r="L293" s="55"/>
      <c r="M293" s="3"/>
      <c r="N293" s="41"/>
      <c r="O293" s="3"/>
      <c r="P293" s="3"/>
    </row>
    <row r="294" spans="1:16" ht="12.75" hidden="1">
      <c r="A294" s="4" t="s">
        <v>486</v>
      </c>
      <c r="B294" s="3"/>
      <c r="C294" s="3"/>
      <c r="D294" s="3"/>
      <c r="E294" s="49">
        <f aca="true" t="shared" si="8" ref="E294:E301">E293+1</f>
        <v>3</v>
      </c>
      <c r="F294" s="39" t="str">
        <f t="shared" si="3"/>
        <v>Sans objet</v>
      </c>
      <c r="G294" s="52" t="str">
        <f t="shared" si="4"/>
        <v>Sans objet</v>
      </c>
      <c r="H294" s="40" t="str">
        <f t="shared" si="5"/>
        <v>Sans objet</v>
      </c>
      <c r="I294" s="3"/>
      <c r="J294" s="217">
        <f t="shared" si="6"/>
      </c>
      <c r="K294" s="217">
        <f t="shared" si="7"/>
      </c>
      <c r="L294" s="55"/>
      <c r="M294" s="3"/>
      <c r="N294" s="41"/>
      <c r="O294" s="3"/>
      <c r="P294" s="3"/>
    </row>
    <row r="295" spans="1:16" ht="12.75" hidden="1">
      <c r="A295" s="4" t="s">
        <v>486</v>
      </c>
      <c r="B295" s="3"/>
      <c r="C295" s="3"/>
      <c r="D295" s="3"/>
      <c r="E295" s="49">
        <f t="shared" si="8"/>
        <v>4</v>
      </c>
      <c r="F295" s="39" t="str">
        <f t="shared" si="3"/>
        <v>Sans objet</v>
      </c>
      <c r="G295" s="52" t="str">
        <f t="shared" si="4"/>
        <v>Sans objet</v>
      </c>
      <c r="H295" s="40" t="str">
        <f t="shared" si="5"/>
        <v>Sans objet</v>
      </c>
      <c r="I295" s="3"/>
      <c r="J295" s="217">
        <f t="shared" si="6"/>
      </c>
      <c r="K295" s="217">
        <f t="shared" si="7"/>
      </c>
      <c r="L295" s="55"/>
      <c r="M295" s="3"/>
      <c r="N295" s="41"/>
      <c r="O295" s="3"/>
      <c r="P295" s="3"/>
    </row>
    <row r="296" spans="1:16" ht="12.75" hidden="1">
      <c r="A296" s="4" t="s">
        <v>486</v>
      </c>
      <c r="B296" s="3"/>
      <c r="C296" s="3"/>
      <c r="D296" s="3"/>
      <c r="E296" s="49">
        <f t="shared" si="8"/>
        <v>5</v>
      </c>
      <c r="F296" s="39" t="str">
        <f t="shared" si="3"/>
        <v>Sans objet</v>
      </c>
      <c r="G296" s="52" t="str">
        <f t="shared" si="4"/>
        <v>Sans objet</v>
      </c>
      <c r="H296" s="40" t="str">
        <f t="shared" si="5"/>
        <v>Sans objet</v>
      </c>
      <c r="I296" s="3"/>
      <c r="J296" s="217">
        <f t="shared" si="6"/>
      </c>
      <c r="K296" s="217">
        <f t="shared" si="7"/>
      </c>
      <c r="L296" s="55"/>
      <c r="M296" s="3"/>
      <c r="N296" s="41"/>
      <c r="O296" s="3"/>
      <c r="P296" s="3"/>
    </row>
    <row r="297" spans="1:16" ht="12.75" hidden="1">
      <c r="A297" s="4" t="s">
        <v>486</v>
      </c>
      <c r="B297" s="3"/>
      <c r="C297" s="3"/>
      <c r="D297" s="3"/>
      <c r="E297" s="49">
        <f t="shared" si="8"/>
        <v>6</v>
      </c>
      <c r="F297" s="39" t="str">
        <f t="shared" si="3"/>
        <v>Sans objet</v>
      </c>
      <c r="G297" s="52" t="str">
        <f t="shared" si="4"/>
        <v>Sans objet</v>
      </c>
      <c r="H297" s="40" t="str">
        <f t="shared" si="5"/>
        <v>Sans objet</v>
      </c>
      <c r="I297" s="3"/>
      <c r="J297" s="217">
        <f t="shared" si="6"/>
      </c>
      <c r="K297" s="217">
        <f t="shared" si="7"/>
      </c>
      <c r="L297" s="55"/>
      <c r="M297" s="3"/>
      <c r="N297" s="41"/>
      <c r="O297" s="3"/>
      <c r="P297" s="3"/>
    </row>
    <row r="298" spans="1:16" ht="12.75" hidden="1">
      <c r="A298" s="4" t="s">
        <v>486</v>
      </c>
      <c r="B298" s="3"/>
      <c r="C298" s="3"/>
      <c r="D298" s="3"/>
      <c r="E298" s="49">
        <f t="shared" si="8"/>
        <v>7</v>
      </c>
      <c r="F298" s="39" t="str">
        <f t="shared" si="3"/>
        <v>Sans objet</v>
      </c>
      <c r="G298" s="52" t="str">
        <f t="shared" si="4"/>
        <v>Sans objet</v>
      </c>
      <c r="H298" s="40" t="str">
        <f t="shared" si="5"/>
        <v>Sans objet</v>
      </c>
      <c r="I298" s="3"/>
      <c r="J298" s="217">
        <f t="shared" si="6"/>
      </c>
      <c r="K298" s="217">
        <f t="shared" si="7"/>
      </c>
      <c r="L298" s="55"/>
      <c r="M298" s="3"/>
      <c r="N298" s="41"/>
      <c r="O298" s="3"/>
      <c r="P298" s="3"/>
    </row>
    <row r="299" spans="1:16" ht="12.75" hidden="1">
      <c r="A299" s="4" t="s">
        <v>486</v>
      </c>
      <c r="B299" s="3"/>
      <c r="C299" s="3"/>
      <c r="D299" s="3"/>
      <c r="E299" s="49">
        <f t="shared" si="8"/>
        <v>8</v>
      </c>
      <c r="F299" s="39" t="str">
        <f t="shared" si="3"/>
        <v>Sans objet</v>
      </c>
      <c r="G299" s="52" t="str">
        <f t="shared" si="4"/>
        <v>Sans objet</v>
      </c>
      <c r="H299" s="40" t="str">
        <f t="shared" si="5"/>
        <v>Sans objet</v>
      </c>
      <c r="I299" s="3"/>
      <c r="J299" s="217">
        <f t="shared" si="6"/>
      </c>
      <c r="K299" s="217">
        <f t="shared" si="7"/>
      </c>
      <c r="L299" s="55"/>
      <c r="M299" s="3"/>
      <c r="N299" s="41"/>
      <c r="O299" s="3"/>
      <c r="P299" s="3"/>
    </row>
    <row r="300" spans="1:16" ht="12.75" hidden="1">
      <c r="A300" s="4" t="s">
        <v>486</v>
      </c>
      <c r="B300" s="3"/>
      <c r="C300" s="3"/>
      <c r="D300" s="3"/>
      <c r="E300" s="49">
        <f t="shared" si="8"/>
        <v>9</v>
      </c>
      <c r="F300" s="39" t="str">
        <f t="shared" si="3"/>
        <v>Sans objet</v>
      </c>
      <c r="G300" s="52" t="str">
        <f t="shared" si="4"/>
        <v>Sans objet</v>
      </c>
      <c r="H300" s="40" t="str">
        <f t="shared" si="5"/>
        <v>Sans objet</v>
      </c>
      <c r="I300" s="3"/>
      <c r="J300" s="217">
        <f t="shared" si="6"/>
      </c>
      <c r="K300" s="217">
        <f t="shared" si="7"/>
      </c>
      <c r="L300" s="55"/>
      <c r="M300" s="3"/>
      <c r="N300" s="41"/>
      <c r="O300" s="3"/>
      <c r="P300" s="3"/>
    </row>
    <row r="301" spans="1:16" ht="13.5" hidden="1" thickBot="1">
      <c r="A301" s="4" t="s">
        <v>486</v>
      </c>
      <c r="B301" s="3"/>
      <c r="C301" s="3"/>
      <c r="D301" s="3"/>
      <c r="E301" s="50">
        <f t="shared" si="8"/>
        <v>10</v>
      </c>
      <c r="F301" s="42" t="str">
        <f t="shared" si="3"/>
        <v>Sans objet</v>
      </c>
      <c r="G301" s="53" t="str">
        <f t="shared" si="4"/>
        <v>Sans objet</v>
      </c>
      <c r="H301" s="43" t="str">
        <f t="shared" si="5"/>
        <v>Sans objet</v>
      </c>
      <c r="I301" s="44"/>
      <c r="J301" s="218">
        <f t="shared" si="6"/>
      </c>
      <c r="K301" s="218">
        <f t="shared" si="7"/>
      </c>
      <c r="L301" s="56"/>
      <c r="M301" s="44"/>
      <c r="N301" s="45"/>
      <c r="O301" s="3"/>
      <c r="P301" s="3"/>
    </row>
    <row r="302" spans="1:16" ht="12.75" hidden="1">
      <c r="A302" s="4" t="s">
        <v>486</v>
      </c>
      <c r="B302" s="3"/>
      <c r="C302" s="3"/>
      <c r="D302" s="3"/>
      <c r="E302" s="3"/>
      <c r="F302" s="3"/>
      <c r="G302" s="3"/>
      <c r="H302" s="3"/>
      <c r="I302" s="3"/>
      <c r="J302" s="3"/>
      <c r="K302" s="3"/>
      <c r="L302" s="3"/>
      <c r="M302" s="3"/>
      <c r="N302" s="3"/>
      <c r="O302" s="3"/>
      <c r="P302" s="3"/>
    </row>
    <row r="303" spans="1:16" ht="12.75" hidden="1">
      <c r="A303" s="4" t="s">
        <v>486</v>
      </c>
      <c r="B303" s="3"/>
      <c r="C303" s="3"/>
      <c r="D303" s="3"/>
      <c r="E303" s="3" t="s">
        <v>149</v>
      </c>
      <c r="F303" s="3"/>
      <c r="G303" s="3"/>
      <c r="H303" s="3"/>
      <c r="I303" s="3"/>
      <c r="J303" s="3"/>
      <c r="K303" s="3"/>
      <c r="L303" s="3"/>
      <c r="M303" s="3"/>
      <c r="N303" s="3"/>
      <c r="O303" s="3"/>
      <c r="P303" s="3"/>
    </row>
    <row r="304" spans="1:16" ht="12.75" hidden="1">
      <c r="A304" s="4" t="s">
        <v>486</v>
      </c>
      <c r="B304" s="3"/>
      <c r="C304" s="3"/>
      <c r="D304" s="3"/>
      <c r="E304" s="3" t="s">
        <v>150</v>
      </c>
      <c r="F304" s="3"/>
      <c r="G304" s="28" t="b">
        <f>COUNTA($F$172:$F$181)&gt;0</f>
        <v>0</v>
      </c>
      <c r="H304" s="3"/>
      <c r="I304" s="3"/>
      <c r="J304" s="3"/>
      <c r="K304" s="3"/>
      <c r="L304" s="3"/>
      <c r="M304" s="3"/>
      <c r="N304" s="3"/>
      <c r="O304" s="3"/>
      <c r="P304" s="3"/>
    </row>
    <row r="305" spans="1:16" ht="12.75" hidden="1">
      <c r="A305" s="4" t="s">
        <v>486</v>
      </c>
      <c r="B305" s="3"/>
      <c r="C305" s="3"/>
      <c r="D305" s="3"/>
      <c r="E305" s="3"/>
      <c r="F305" s="3"/>
      <c r="G305" s="3"/>
      <c r="H305" s="3"/>
      <c r="I305" s="3"/>
      <c r="J305" s="3"/>
      <c r="K305" s="3"/>
      <c r="L305" s="3"/>
      <c r="M305" s="3"/>
      <c r="N305" s="3"/>
      <c r="O305" s="3"/>
      <c r="P305" s="3"/>
    </row>
    <row r="306" spans="1:16" ht="12.75" hidden="1">
      <c r="A306" s="4" t="s">
        <v>486</v>
      </c>
      <c r="B306" s="3"/>
      <c r="C306" s="3"/>
      <c r="D306" s="3"/>
      <c r="E306" s="3"/>
      <c r="F306" s="3"/>
      <c r="G306" s="3"/>
      <c r="H306" s="3"/>
      <c r="I306" s="3"/>
      <c r="J306" s="3"/>
      <c r="K306" s="3"/>
      <c r="L306" s="3"/>
      <c r="M306" s="3"/>
      <c r="N306" s="3"/>
      <c r="O306" s="3"/>
      <c r="P306" s="3"/>
    </row>
    <row r="326" ht="12.75"/>
  </sheetData>
  <sheetProtection sheet="1" objects="1" scenarios="1" formatCells="0" formatColumns="0" formatRows="0"/>
  <mergeCells count="356">
    <mergeCell ref="E264:N264"/>
    <mergeCell ref="E21:N21"/>
    <mergeCell ref="E22:N22"/>
    <mergeCell ref="E23:N23"/>
    <mergeCell ref="E241:N241"/>
    <mergeCell ref="E226:N226"/>
    <mergeCell ref="E212:N212"/>
    <mergeCell ref="J214:N214"/>
    <mergeCell ref="F171:H171"/>
    <mergeCell ref="E153:N153"/>
    <mergeCell ref="E151:N151"/>
    <mergeCell ref="J215:N215"/>
    <mergeCell ref="J216:N216"/>
    <mergeCell ref="F214:I214"/>
    <mergeCell ref="F215:I215"/>
    <mergeCell ref="F216:I216"/>
    <mergeCell ref="K171:L171"/>
    <mergeCell ref="F165:N165"/>
    <mergeCell ref="M193:N193"/>
    <mergeCell ref="M194:N194"/>
    <mergeCell ref="E225:N225"/>
    <mergeCell ref="E224:I224"/>
    <mergeCell ref="J224:N224"/>
    <mergeCell ref="E218:I218"/>
    <mergeCell ref="J218:N218"/>
    <mergeCell ref="E242:N242"/>
    <mergeCell ref="E219:N219"/>
    <mergeCell ref="E238:N238"/>
    <mergeCell ref="E267:N267"/>
    <mergeCell ref="E268:N268"/>
    <mergeCell ref="F220:I220"/>
    <mergeCell ref="J220:N220"/>
    <mergeCell ref="F221:I221"/>
    <mergeCell ref="J221:N221"/>
    <mergeCell ref="F222:I222"/>
    <mergeCell ref="J222:N222"/>
    <mergeCell ref="F230:I230"/>
    <mergeCell ref="F246:I246"/>
    <mergeCell ref="K3:L3"/>
    <mergeCell ref="G2:H2"/>
    <mergeCell ref="M4:N4"/>
    <mergeCell ref="M3:N3"/>
    <mergeCell ref="I3:J3"/>
    <mergeCell ref="M2:N2"/>
    <mergeCell ref="I2:J2"/>
    <mergeCell ref="E48:I48"/>
    <mergeCell ref="D44:N44"/>
    <mergeCell ref="E15:K15"/>
    <mergeCell ref="L15:N15"/>
    <mergeCell ref="J56:N56"/>
    <mergeCell ref="F162:N162"/>
    <mergeCell ref="G88:I88"/>
    <mergeCell ref="G85:I85"/>
    <mergeCell ref="E139:N139"/>
    <mergeCell ref="E150:N150"/>
    <mergeCell ref="E57:N57"/>
    <mergeCell ref="E58:N58"/>
    <mergeCell ref="E61:I61"/>
    <mergeCell ref="E59:N59"/>
    <mergeCell ref="I4:J4"/>
    <mergeCell ref="G4:H4"/>
    <mergeCell ref="E4:F4"/>
    <mergeCell ref="E56:I56"/>
    <mergeCell ref="E18:K18"/>
    <mergeCell ref="J51:N51"/>
    <mergeCell ref="B2:D4"/>
    <mergeCell ref="E3:F3"/>
    <mergeCell ref="E51:I51"/>
    <mergeCell ref="E52:N52"/>
    <mergeCell ref="K2:L2"/>
    <mergeCell ref="F121:N121"/>
    <mergeCell ref="G101:I101"/>
    <mergeCell ref="G93:I93"/>
    <mergeCell ref="E98:N98"/>
    <mergeCell ref="E100:N100"/>
    <mergeCell ref="F76:I76"/>
    <mergeCell ref="E66:N66"/>
    <mergeCell ref="E64:I64"/>
    <mergeCell ref="E62:N62"/>
    <mergeCell ref="F71:N71"/>
    <mergeCell ref="E68:N68"/>
    <mergeCell ref="F75:N75"/>
    <mergeCell ref="F72:I72"/>
    <mergeCell ref="F69:I69"/>
    <mergeCell ref="J69:N69"/>
    <mergeCell ref="J61:N61"/>
    <mergeCell ref="J48:N48"/>
    <mergeCell ref="D46:N46"/>
    <mergeCell ref="E49:N49"/>
    <mergeCell ref="E54:I54"/>
    <mergeCell ref="J84:N84"/>
    <mergeCell ref="G83:I83"/>
    <mergeCell ref="J64:N64"/>
    <mergeCell ref="J72:N72"/>
    <mergeCell ref="E67:N67"/>
    <mergeCell ref="J76:N76"/>
    <mergeCell ref="J73:N73"/>
    <mergeCell ref="F73:I73"/>
    <mergeCell ref="J95:N95"/>
    <mergeCell ref="G95:I95"/>
    <mergeCell ref="J77:N77"/>
    <mergeCell ref="E80:N80"/>
    <mergeCell ref="G81:I81"/>
    <mergeCell ref="G82:I82"/>
    <mergeCell ref="G87:I87"/>
    <mergeCell ref="F77:I77"/>
    <mergeCell ref="G84:I84"/>
    <mergeCell ref="J107:N107"/>
    <mergeCell ref="G109:I109"/>
    <mergeCell ref="G104:I104"/>
    <mergeCell ref="J92:N92"/>
    <mergeCell ref="G94:I94"/>
    <mergeCell ref="J93:N93"/>
    <mergeCell ref="J94:N94"/>
    <mergeCell ref="J85:N85"/>
    <mergeCell ref="F118:N118"/>
    <mergeCell ref="E79:N79"/>
    <mergeCell ref="J83:N83"/>
    <mergeCell ref="J81:N81"/>
    <mergeCell ref="J82:N82"/>
    <mergeCell ref="J103:N103"/>
    <mergeCell ref="G89:I89"/>
    <mergeCell ref="G92:I92"/>
    <mergeCell ref="J102:N102"/>
    <mergeCell ref="G102:I102"/>
    <mergeCell ref="F117:N117"/>
    <mergeCell ref="E115:N115"/>
    <mergeCell ref="E159:N159"/>
    <mergeCell ref="E163:N163"/>
    <mergeCell ref="F119:N119"/>
    <mergeCell ref="J110:N110"/>
    <mergeCell ref="E149:N149"/>
    <mergeCell ref="F155:N155"/>
    <mergeCell ref="F141:N141"/>
    <mergeCell ref="F143:N143"/>
    <mergeCell ref="J86:N86"/>
    <mergeCell ref="J88:N88"/>
    <mergeCell ref="E91:N91"/>
    <mergeCell ref="J109:N109"/>
    <mergeCell ref="J104:N104"/>
    <mergeCell ref="J89:N89"/>
    <mergeCell ref="G107:I107"/>
    <mergeCell ref="E184:N184"/>
    <mergeCell ref="M188:N188"/>
    <mergeCell ref="G103:I103"/>
    <mergeCell ref="E106:N106"/>
    <mergeCell ref="G108:I108"/>
    <mergeCell ref="F166:N166"/>
    <mergeCell ref="E125:N125"/>
    <mergeCell ref="F157:N157"/>
    <mergeCell ref="F160:N160"/>
    <mergeCell ref="E154:N154"/>
    <mergeCell ref="M189:N189"/>
    <mergeCell ref="J193:L193"/>
    <mergeCell ref="I173:J173"/>
    <mergeCell ref="J187:L187"/>
    <mergeCell ref="M187:N187"/>
    <mergeCell ref="K180:L180"/>
    <mergeCell ref="H191:I191"/>
    <mergeCell ref="J191:L191"/>
    <mergeCell ref="J188:L188"/>
    <mergeCell ref="J189:L189"/>
    <mergeCell ref="M191:N191"/>
    <mergeCell ref="M192:N192"/>
    <mergeCell ref="J192:L192"/>
    <mergeCell ref="F194:G194"/>
    <mergeCell ref="H194:I194"/>
    <mergeCell ref="J194:L194"/>
    <mergeCell ref="F191:G191"/>
    <mergeCell ref="F192:G192"/>
    <mergeCell ref="H188:I188"/>
    <mergeCell ref="F190:G190"/>
    <mergeCell ref="F173:H173"/>
    <mergeCell ref="M181:N181"/>
    <mergeCell ref="I178:J178"/>
    <mergeCell ref="I177:J177"/>
    <mergeCell ref="F178:H178"/>
    <mergeCell ref="H189:I189"/>
    <mergeCell ref="F188:G188"/>
    <mergeCell ref="F187:G187"/>
    <mergeCell ref="K178:L178"/>
    <mergeCell ref="M178:N178"/>
    <mergeCell ref="M175:N175"/>
    <mergeCell ref="K179:L179"/>
    <mergeCell ref="F179:H179"/>
    <mergeCell ref="I179:J179"/>
    <mergeCell ref="M176:N176"/>
    <mergeCell ref="M177:N177"/>
    <mergeCell ref="K177:L177"/>
    <mergeCell ref="F176:H176"/>
    <mergeCell ref="I181:J181"/>
    <mergeCell ref="E183:N183"/>
    <mergeCell ref="M180:N180"/>
    <mergeCell ref="M179:N179"/>
    <mergeCell ref="F180:H180"/>
    <mergeCell ref="K181:L181"/>
    <mergeCell ref="D259:N259"/>
    <mergeCell ref="M195:N195"/>
    <mergeCell ref="H196:I196"/>
    <mergeCell ref="M197:N197"/>
    <mergeCell ref="J197:L197"/>
    <mergeCell ref="E185:N185"/>
    <mergeCell ref="H187:I187"/>
    <mergeCell ref="E186:N186"/>
    <mergeCell ref="M190:N190"/>
    <mergeCell ref="J190:L190"/>
    <mergeCell ref="M196:N196"/>
    <mergeCell ref="D274:N274"/>
    <mergeCell ref="H192:I192"/>
    <mergeCell ref="H195:I195"/>
    <mergeCell ref="H197:I197"/>
    <mergeCell ref="D233:N233"/>
    <mergeCell ref="F193:G193"/>
    <mergeCell ref="J230:N230"/>
    <mergeCell ref="F228:I228"/>
    <mergeCell ref="E210:I210"/>
    <mergeCell ref="F174:H174"/>
    <mergeCell ref="I175:J175"/>
    <mergeCell ref="J195:L195"/>
    <mergeCell ref="J196:L196"/>
    <mergeCell ref="F196:G196"/>
    <mergeCell ref="H193:I193"/>
    <mergeCell ref="F189:G189"/>
    <mergeCell ref="I180:J180"/>
    <mergeCell ref="H190:I190"/>
    <mergeCell ref="F181:H181"/>
    <mergeCell ref="I172:J172"/>
    <mergeCell ref="I171:J171"/>
    <mergeCell ref="K174:L174"/>
    <mergeCell ref="F197:G197"/>
    <mergeCell ref="K176:L176"/>
    <mergeCell ref="K175:L175"/>
    <mergeCell ref="F175:H175"/>
    <mergeCell ref="F177:H177"/>
    <mergeCell ref="F195:G195"/>
    <mergeCell ref="I176:J176"/>
    <mergeCell ref="I174:J174"/>
    <mergeCell ref="F161:N161"/>
    <mergeCell ref="E167:N167"/>
    <mergeCell ref="F172:H172"/>
    <mergeCell ref="K172:L172"/>
    <mergeCell ref="F169:N169"/>
    <mergeCell ref="M172:N172"/>
    <mergeCell ref="F168:N168"/>
    <mergeCell ref="M174:N174"/>
    <mergeCell ref="M173:N173"/>
    <mergeCell ref="F158:N158"/>
    <mergeCell ref="F164:N164"/>
    <mergeCell ref="K173:L173"/>
    <mergeCell ref="M171:N171"/>
    <mergeCell ref="F156:N156"/>
    <mergeCell ref="E126:N126"/>
    <mergeCell ref="E136:N136"/>
    <mergeCell ref="E138:N138"/>
    <mergeCell ref="E144:K144"/>
    <mergeCell ref="E140:N140"/>
    <mergeCell ref="E134:K134"/>
    <mergeCell ref="F131:K131"/>
    <mergeCell ref="L134:N134"/>
    <mergeCell ref="E135:N135"/>
    <mergeCell ref="B97:B110"/>
    <mergeCell ref="B112:B137"/>
    <mergeCell ref="E127:N127"/>
    <mergeCell ref="J101:N101"/>
    <mergeCell ref="D97:N97"/>
    <mergeCell ref="E128:N128"/>
    <mergeCell ref="G110:I110"/>
    <mergeCell ref="D112:N112"/>
    <mergeCell ref="J108:N108"/>
    <mergeCell ref="E211:N211"/>
    <mergeCell ref="D208:N208"/>
    <mergeCell ref="E205:N205"/>
    <mergeCell ref="E206:N206"/>
    <mergeCell ref="E123:N123"/>
    <mergeCell ref="E130:N130"/>
    <mergeCell ref="F132:K132"/>
    <mergeCell ref="E152:N152"/>
    <mergeCell ref="F142:N142"/>
    <mergeCell ref="L144:M144"/>
    <mergeCell ref="J246:N246"/>
    <mergeCell ref="E34:N34"/>
    <mergeCell ref="J237:N237"/>
    <mergeCell ref="E240:I240"/>
    <mergeCell ref="J240:N240"/>
    <mergeCell ref="J228:N228"/>
    <mergeCell ref="J229:N229"/>
    <mergeCell ref="F271:I271"/>
    <mergeCell ref="J271:N271"/>
    <mergeCell ref="F272:I272"/>
    <mergeCell ref="J272:N272"/>
    <mergeCell ref="D258:N258"/>
    <mergeCell ref="E261:I261"/>
    <mergeCell ref="J261:N261"/>
    <mergeCell ref="E263:I263"/>
    <mergeCell ref="J263:N263"/>
    <mergeCell ref="F270:I270"/>
    <mergeCell ref="J270:N270"/>
    <mergeCell ref="J266:N266"/>
    <mergeCell ref="J256:N256"/>
    <mergeCell ref="E266:I266"/>
    <mergeCell ref="E256:I256"/>
    <mergeCell ref="D250:N250"/>
    <mergeCell ref="E254:I254"/>
    <mergeCell ref="J254:N254"/>
    <mergeCell ref="J252:N252"/>
    <mergeCell ref="E252:I252"/>
    <mergeCell ref="D249:N249"/>
    <mergeCell ref="D232:N232"/>
    <mergeCell ref="E235:I235"/>
    <mergeCell ref="J235:N235"/>
    <mergeCell ref="E237:I237"/>
    <mergeCell ref="F229:I229"/>
    <mergeCell ref="F244:I244"/>
    <mergeCell ref="J244:N244"/>
    <mergeCell ref="F245:I245"/>
    <mergeCell ref="J245:N245"/>
    <mergeCell ref="Y3:Z3"/>
    <mergeCell ref="E31:N31"/>
    <mergeCell ref="E29:N29"/>
    <mergeCell ref="E30:N30"/>
    <mergeCell ref="E32:N32"/>
    <mergeCell ref="F120:N120"/>
    <mergeCell ref="E114:N114"/>
    <mergeCell ref="E11:N11"/>
    <mergeCell ref="J87:N87"/>
    <mergeCell ref="G86:I86"/>
    <mergeCell ref="Y2:Z2"/>
    <mergeCell ref="E38:N38"/>
    <mergeCell ref="S4:T4"/>
    <mergeCell ref="U4:V4"/>
    <mergeCell ref="W4:X4"/>
    <mergeCell ref="E129:N129"/>
    <mergeCell ref="G3:H3"/>
    <mergeCell ref="S3:T3"/>
    <mergeCell ref="U3:V3"/>
    <mergeCell ref="W3:X3"/>
    <mergeCell ref="S2:T2"/>
    <mergeCell ref="U2:V2"/>
    <mergeCell ref="W2:X2"/>
    <mergeCell ref="E24:M24"/>
    <mergeCell ref="F26:M26"/>
    <mergeCell ref="F27:M27"/>
    <mergeCell ref="E20:N20"/>
    <mergeCell ref="F25:M25"/>
    <mergeCell ref="K4:L4"/>
    <mergeCell ref="D6:N6"/>
    <mergeCell ref="Y4:Z4"/>
    <mergeCell ref="E13:N13"/>
    <mergeCell ref="E12:N12"/>
    <mergeCell ref="E35:N35"/>
    <mergeCell ref="E124:N124"/>
    <mergeCell ref="D204:N204"/>
    <mergeCell ref="E36:N36"/>
    <mergeCell ref="D201:N201"/>
    <mergeCell ref="D202:N202"/>
    <mergeCell ref="D203:N203"/>
  </mergeCells>
  <conditionalFormatting sqref="F188:G197">
    <cfRule type="expression" priority="146" dxfId="43" stopIfTrue="1">
      <formula>AND(CNTR_ExistConnectionEntries,ISBLANK($F172))</formula>
    </cfRule>
    <cfRule type="expression" priority="147" dxfId="39" stopIfTrue="1">
      <formula>($S172=FALSE)</formula>
    </cfRule>
  </conditionalFormatting>
  <conditionalFormatting sqref="H188:N197">
    <cfRule type="expression" priority="148" dxfId="43" stopIfTrue="1">
      <formula>AND(CNTR_ExistConnectionEntries,ISBLANK($F172))</formula>
    </cfRule>
    <cfRule type="expression" priority="149" dxfId="41" stopIfTrue="1">
      <formula>MSconst_RequireConnectedInstContact</formula>
    </cfRule>
    <cfRule type="expression" priority="150" dxfId="41" stopIfTrue="1">
      <formula>($S172=FALSE)</formula>
    </cfRule>
  </conditionalFormatting>
  <conditionalFormatting sqref="J61:N61">
    <cfRule type="expression" priority="153" dxfId="39" stopIfTrue="1">
      <formula>AND(NOT(ISBLANK($J$54)),$J$54=FALSE)</formula>
    </cfRule>
  </conditionalFormatting>
  <conditionalFormatting sqref="J69:N69 J72:N73">
    <cfRule type="expression" priority="154" dxfId="39" stopIfTrue="1">
      <formula>(MSconst_RequirePermitInfo=FALSE)</formula>
    </cfRule>
  </conditionalFormatting>
  <conditionalFormatting sqref="B2:D4">
    <cfRule type="expression" priority="155" dxfId="0" stopIfTrue="1">
      <formula>CNTR_HasErrors_A</formula>
    </cfRule>
  </conditionalFormatting>
  <conditionalFormatting sqref="J221:N221 J215:N215">
    <cfRule type="expression" priority="21" dxfId="37" stopIfTrue="1">
      <formula>$Z215=1</formula>
    </cfRule>
  </conditionalFormatting>
  <conditionalFormatting sqref="J229:N229 J224:N224">
    <cfRule type="expression" priority="20" dxfId="12" stopIfTrue="1">
      <formula>$Z224</formula>
    </cfRule>
  </conditionalFormatting>
  <conditionalFormatting sqref="L18">
    <cfRule type="expression" priority="18" dxfId="12" stopIfTrue="1">
      <formula>$Z13=TRUE</formula>
    </cfRule>
  </conditionalFormatting>
  <conditionalFormatting sqref="L18">
    <cfRule type="expression" priority="19" dxfId="12" stopIfTrue="1">
      <formula>$X13=TRUE</formula>
    </cfRule>
  </conditionalFormatting>
  <conditionalFormatting sqref="M18">
    <cfRule type="expression" priority="14" dxfId="12" stopIfTrue="1">
      <formula>$Z13=TRUE</formula>
    </cfRule>
  </conditionalFormatting>
  <conditionalFormatting sqref="M18">
    <cfRule type="expression" priority="15" dxfId="12" stopIfTrue="1">
      <formula>$X13=TRUE</formula>
    </cfRule>
  </conditionalFormatting>
  <conditionalFormatting sqref="N18">
    <cfRule type="expression" priority="12" dxfId="12" stopIfTrue="1">
      <formula>$Z13=TRUE</formula>
    </cfRule>
  </conditionalFormatting>
  <conditionalFormatting sqref="N18">
    <cfRule type="expression" priority="13" dxfId="12" stopIfTrue="1">
      <formula>$X13=TRUE</formula>
    </cfRule>
  </conditionalFormatting>
  <conditionalFormatting sqref="N25:N26">
    <cfRule type="expression" priority="10" dxfId="12" stopIfTrue="1">
      <formula>$Z19=TRUE</formula>
    </cfRule>
  </conditionalFormatting>
  <conditionalFormatting sqref="N25:N26">
    <cfRule type="expression" priority="11" dxfId="12" stopIfTrue="1">
      <formula>$X19=TRUE</formula>
    </cfRule>
  </conditionalFormatting>
  <conditionalFormatting sqref="N28">
    <cfRule type="expression" priority="157" dxfId="12" stopIfTrue="1">
      <formula>$Z21=TRUE</formula>
    </cfRule>
  </conditionalFormatting>
  <conditionalFormatting sqref="N28">
    <cfRule type="expression" priority="159" dxfId="12" stopIfTrue="1">
      <formula>$X21=TRUE</formula>
    </cfRule>
  </conditionalFormatting>
  <conditionalFormatting sqref="N27">
    <cfRule type="expression" priority="6" dxfId="12" stopIfTrue="1">
      <formula>$Z21=TRUE</formula>
    </cfRule>
  </conditionalFormatting>
  <conditionalFormatting sqref="N27">
    <cfRule type="expression" priority="7" dxfId="12" stopIfTrue="1">
      <formula>$X21=TRUE</formula>
    </cfRule>
  </conditionalFormatting>
  <conditionalFormatting sqref="N24">
    <cfRule type="expression" priority="4" dxfId="12" stopIfTrue="1">
      <formula>$Z17=TRUE</formula>
    </cfRule>
  </conditionalFormatting>
  <conditionalFormatting sqref="N24">
    <cfRule type="expression" priority="5" dxfId="12" stopIfTrue="1">
      <formula>$X17=TRUE</formula>
    </cfRule>
  </conditionalFormatting>
  <conditionalFormatting sqref="J271:N271 J266:N266 J263:N263 J261:N261 J245:N245 J240:N240 J237:N237 J235:N235">
    <cfRule type="expression" priority="3" dxfId="12" stopIfTrue="1">
      <formula>$Z235=TRUE</formula>
    </cfRule>
  </conditionalFormatting>
  <conditionalFormatting sqref="G3:H3">
    <cfRule type="expression" priority="2" dxfId="19" stopIfTrue="1">
      <formula>$Y$38</formula>
    </cfRule>
  </conditionalFormatting>
  <conditionalFormatting sqref="I3:J3">
    <cfRule type="expression" priority="1" dxfId="19" stopIfTrue="1">
      <formula>$G$283=TRUE</formula>
    </cfRule>
  </conditionalFormatting>
  <dataValidations count="13">
    <dataValidation type="list" allowBlank="1" showInputMessage="1" showErrorMessage="1" sqref="L144:M144 J54 J210 N26">
      <formula1>Euconst_TrueFalse</formula1>
    </dataValidation>
    <dataValidation type="list" allowBlank="1" showInputMessage="1" showErrorMessage="1" sqref="I172:I181">
      <formula1>EUconst_ConnectedEntityTypes</formula1>
    </dataValidation>
    <dataValidation type="list" allowBlank="1" showInputMessage="1" showErrorMessage="1" sqref="K172:L181">
      <formula1>EUconst_ConnectionTypes</formula1>
    </dataValidation>
    <dataValidation type="list" allowBlank="1" showInputMessage="1" showErrorMessage="1" sqref="M172:N181">
      <formula1>EUconst_ConnectionTransferTypes</formula1>
    </dataValidation>
    <dataValidation type="list" allowBlank="1" showInputMessage="1" showErrorMessage="1" sqref="E36:N36">
      <formula1>EUconst_ConfirmAllowUseOfData</formula1>
    </dataValidation>
    <dataValidation type="list" allowBlank="1" showInputMessage="1" showErrorMessage="1" sqref="G118:N121 F117:F121">
      <formula1>EUconst_AnnexIActivities</formula1>
    </dataValidation>
    <dataValidation errorStyle="warning" type="textLength" operator="equal" allowBlank="1" showInputMessage="1" showErrorMessage="1" sqref="L131:L132">
      <formula1>4</formula1>
    </dataValidation>
    <dataValidation type="list" allowBlank="1" showInputMessage="1" showErrorMessage="1" sqref="J51:N51">
      <formula1>EUconst_MSlist</formula1>
    </dataValidation>
    <dataValidation type="list" allowBlank="1" showInputMessage="1" showErrorMessage="1" sqref="E13:N13">
      <formula1>EUconst_ConfirmMergerSplit</formula1>
    </dataValidation>
    <dataValidation type="list" allowBlank="1" showInputMessage="1" showErrorMessage="1" sqref="L18">
      <formula1>EUconst_Days</formula1>
    </dataValidation>
    <dataValidation type="list" allowBlank="1" showInputMessage="1" showErrorMessage="1" sqref="M18">
      <formula1>EUconst_Months</formula1>
    </dataValidation>
    <dataValidation type="list" allowBlank="1" showInputMessage="1" showErrorMessage="1" sqref="N18">
      <formula1>EUconst_ReportingYears</formula1>
    </dataValidation>
    <dataValidation type="list" allowBlank="1" showInputMessage="1" showErrorMessage="1" sqref="L15">
      <formula1>EUconst_MergerSplitOrTransfer</formula1>
    </dataValidation>
  </dataValidations>
  <hyperlinks>
    <hyperlink ref="E128" r:id="rId1" display="http://ec.europa.eu/eurostat/ramon/nomenclatures/index.cfm?TargetUrl=LST_CLS_DLD&amp;StrNom=NACE_REV2&amp;StrLanguageCode=EN&amp;StrLayoutCode=HIERARCHIC"/>
    <hyperlink ref="E126" r:id="rId2" display="http://ec.europa.eu/eurostat/ramon/nomenclatures/index.cfm?TargetUrl=LST_CLS_DLD&amp;StrNom=NACE_1_1&amp;StrLanguageCode=EN&amp;StrLayoutCode=HIERARCHIC"/>
    <hyperlink ref="G2:H2" location="JUMP_Coverpage_Top" display="JUMP_Coverpage_Top"/>
  </hyperlinks>
  <printOptions/>
  <pageMargins left="0.7874015748031497" right="0.7874015748031497" top="0.7874015748031497" bottom="0.7874015748031497" header="0.5118110236220472" footer="0.5118110236220472"/>
  <pageSetup fitToHeight="20" fitToWidth="1" horizontalDpi="600" verticalDpi="600" orientation="portrait" paperSize="9" scale="64" r:id="rId5"/>
  <headerFooter alignWithMargins="0">
    <oddHeader>&amp;L&amp;F; &amp;A&amp;R&amp;D; &amp;T</oddHeader>
    <oddFooter>&amp;C&amp;P / &amp;N</oddFooter>
  </headerFooter>
  <rowBreaks count="1" manualBreakCount="1">
    <brk id="146" min="2" max="13" man="1"/>
  </rowBreaks>
  <legacyDrawing r:id="rId4"/>
</worksheet>
</file>

<file path=xl/worksheets/sheet4.xml><?xml version="1.0" encoding="utf-8"?>
<worksheet xmlns="http://schemas.openxmlformats.org/spreadsheetml/2006/main" xmlns:r="http://schemas.openxmlformats.org/officeDocument/2006/relationships">
  <sheetPr>
    <tabColor rgb="FFFFFF00"/>
  </sheetPr>
  <dimension ref="A1:AA153"/>
  <sheetViews>
    <sheetView zoomScalePageLayoutView="0" workbookViewId="0" topLeftCell="A1">
      <pane ySplit="4" topLeftCell="A131" activePane="bottomLeft" state="frozen"/>
      <selection pane="topLeft" activeCell="F43" sqref="F43"/>
      <selection pane="bottomLeft" activeCell="D152" sqref="D152:N152"/>
    </sheetView>
  </sheetViews>
  <sheetFormatPr defaultColWidth="11.421875" defaultRowHeight="12.75"/>
  <cols>
    <col min="1" max="1" width="4.7109375" style="584" hidden="1" customWidth="1"/>
    <col min="2" max="2" width="2.7109375" style="584" customWidth="1"/>
    <col min="3" max="4" width="4.7109375" style="584" customWidth="1"/>
    <col min="5" max="14" width="12.7109375" style="584" customWidth="1"/>
    <col min="15" max="15" width="4.7109375" style="584" customWidth="1"/>
    <col min="16" max="16" width="21.57421875" style="584" hidden="1" customWidth="1"/>
    <col min="17" max="27" width="11.421875" style="513" hidden="1" customWidth="1"/>
    <col min="28" max="16384" width="11.421875" style="584" customWidth="1"/>
  </cols>
  <sheetData>
    <row r="1" spans="1:27" s="4" customFormat="1" ht="13.5" hidden="1" thickBot="1">
      <c r="A1" s="4" t="s">
        <v>486</v>
      </c>
      <c r="P1" s="319" t="s">
        <v>486</v>
      </c>
      <c r="Q1" s="423" t="s">
        <v>486</v>
      </c>
      <c r="R1" s="423" t="s">
        <v>486</v>
      </c>
      <c r="S1" s="440" t="s">
        <v>486</v>
      </c>
      <c r="T1" s="423" t="s">
        <v>486</v>
      </c>
      <c r="U1" s="423" t="s">
        <v>486</v>
      </c>
      <c r="V1" s="423" t="s">
        <v>486</v>
      </c>
      <c r="W1" s="423" t="s">
        <v>486</v>
      </c>
      <c r="X1" s="423" t="s">
        <v>486</v>
      </c>
      <c r="Y1" s="423" t="s">
        <v>486</v>
      </c>
      <c r="Z1" s="423" t="s">
        <v>486</v>
      </c>
      <c r="AA1" s="423" t="s">
        <v>486</v>
      </c>
    </row>
    <row r="2" spans="1:27" s="522" customFormat="1" ht="13.5" customHeight="1" thickBot="1">
      <c r="A2" s="4"/>
      <c r="B2" s="913" t="str">
        <f>Translations!$B$1548</f>
        <v>B. Initial situation (Situation initiale)</v>
      </c>
      <c r="C2" s="914"/>
      <c r="D2" s="915"/>
      <c r="E2" s="201" t="str">
        <f>Translations!$B$276</f>
        <v>Zone de navigation:</v>
      </c>
      <c r="F2" s="199"/>
      <c r="G2" s="715" t="str">
        <f>Translations!$B$290</f>
        <v>Table des matières</v>
      </c>
      <c r="H2" s="702"/>
      <c r="I2" s="702" t="str">
        <f>HYPERLINK(U2,Translations!$B$291)</f>
        <v>Feuille précédente</v>
      </c>
      <c r="J2" s="702"/>
      <c r="K2" s="702" t="str">
        <f>HYPERLINK(W2,Translations!$B$277)</f>
        <v>Feuille suivante</v>
      </c>
      <c r="L2" s="702"/>
      <c r="M2" s="702" t="str">
        <f>HYPERLINK(Y2,Translations!$B$278)</f>
        <v>Résumé</v>
      </c>
      <c r="N2" s="709"/>
      <c r="O2" s="9"/>
      <c r="P2" s="9"/>
      <c r="Q2" s="441" t="s">
        <v>555</v>
      </c>
      <c r="R2" s="441"/>
      <c r="S2" s="704"/>
      <c r="T2" s="705"/>
      <c r="U2" s="706" t="str">
        <f>"#"&amp;ADDRESS(ROW(C6),COLUMN(C6),,,A_InstallationData!Q3)</f>
        <v>#A_InstallationData!$C$6</v>
      </c>
      <c r="V2" s="705"/>
      <c r="W2" s="706" t="str">
        <f>"#"&amp;ADDRESS(ROW(C6),COLUMN(C6),,,C_MergerSplitTransfer!Q3)</f>
        <v>#C_MergerSplitTransfer!$C$6</v>
      </c>
      <c r="X2" s="705"/>
      <c r="Y2" s="706" t="str">
        <f>"#"&amp;ADDRESS(ROW(C6),COLUMN(C6),,,D_Summary!Q3)</f>
        <v>#D_Summary!$C$6</v>
      </c>
      <c r="Z2" s="707"/>
      <c r="AA2" s="423"/>
    </row>
    <row r="3" spans="1:27" s="522" customFormat="1" ht="13.5" customHeight="1" thickBot="1">
      <c r="A3" s="4"/>
      <c r="B3" s="916"/>
      <c r="C3" s="917"/>
      <c r="D3" s="918"/>
      <c r="E3" s="702" t="str">
        <f>HYPERLINK(R3,Translations!$B$279)</f>
        <v>Début de feuille</v>
      </c>
      <c r="F3" s="750"/>
      <c r="G3" s="716" t="str">
        <f>HYPERLINK(S3,Translations!$B$1498)</f>
        <v>Installation initiale 1</v>
      </c>
      <c r="H3" s="717"/>
      <c r="I3" s="752" t="str">
        <f>HYPERLINK(U3,Translations!$B$1499)</f>
        <v>Installation initiale 2</v>
      </c>
      <c r="J3" s="717"/>
      <c r="K3" s="752"/>
      <c r="L3" s="717"/>
      <c r="M3" s="752"/>
      <c r="N3" s="717"/>
      <c r="O3" s="9"/>
      <c r="P3" s="9"/>
      <c r="Q3" s="499" t="str">
        <f ca="1">IF(ISERROR(CELL("filename",Q1)),"B_InitialSituation",MID(CELL("filename",Q1),FIND("]",CELL("filename",Q1))+1,1024))</f>
        <v>B_InitialSituation</v>
      </c>
      <c r="R3" s="500" t="str">
        <f>"#"&amp;ADDRESS(ROW(C6),COLUMN(C6))</f>
        <v>#$C$6</v>
      </c>
      <c r="S3" s="775" t="str">
        <f>"#"&amp;ADDRESS(ROW(C10),COLUMN(C10))</f>
        <v>#$C$10</v>
      </c>
      <c r="T3" s="776"/>
      <c r="U3" s="777" t="str">
        <f>"#"&amp;ADDRESS(ROW(C83),COLUMN(C83))</f>
        <v>#$C$83</v>
      </c>
      <c r="V3" s="776"/>
      <c r="W3" s="777"/>
      <c r="X3" s="776"/>
      <c r="Y3" s="777"/>
      <c r="Z3" s="778"/>
      <c r="AA3" s="423"/>
    </row>
    <row r="4" spans="1:27" s="522" customFormat="1" ht="13.5" customHeight="1" thickBot="1">
      <c r="A4" s="4"/>
      <c r="B4" s="919"/>
      <c r="C4" s="920"/>
      <c r="D4" s="921"/>
      <c r="E4" s="702" t="str">
        <f>HYPERLINK(R4,Translations!$B$280)</f>
        <v>Fin de feuille</v>
      </c>
      <c r="F4" s="702"/>
      <c r="G4" s="758"/>
      <c r="H4" s="759"/>
      <c r="I4" s="760"/>
      <c r="J4" s="759"/>
      <c r="K4" s="760"/>
      <c r="L4" s="759"/>
      <c r="M4" s="760"/>
      <c r="N4" s="759"/>
      <c r="O4" s="9"/>
      <c r="P4" s="9"/>
      <c r="Q4" s="441"/>
      <c r="R4" s="501" t="str">
        <f>"#"&amp;ADDRESS(ROW(D152),COLUMN(D152))</f>
        <v>#$D$152</v>
      </c>
      <c r="S4" s="781"/>
      <c r="T4" s="782"/>
      <c r="U4" s="783"/>
      <c r="V4" s="782"/>
      <c r="W4" s="783"/>
      <c r="X4" s="782"/>
      <c r="Y4" s="783"/>
      <c r="Z4" s="784"/>
      <c r="AA4" s="423"/>
    </row>
    <row r="5" spans="1:27" s="522" customFormat="1" ht="12.75">
      <c r="A5" s="4"/>
      <c r="B5" s="5"/>
      <c r="C5" s="6"/>
      <c r="D5" s="7"/>
      <c r="E5" s="7"/>
      <c r="F5" s="8"/>
      <c r="G5" s="8"/>
      <c r="H5" s="8"/>
      <c r="I5" s="5"/>
      <c r="J5" s="5"/>
      <c r="K5" s="5"/>
      <c r="L5" s="5"/>
      <c r="M5" s="9"/>
      <c r="N5" s="9"/>
      <c r="O5" s="9"/>
      <c r="P5" s="9"/>
      <c r="Q5" s="441"/>
      <c r="R5" s="423"/>
      <c r="S5" s="423"/>
      <c r="T5" s="423"/>
      <c r="U5" s="423"/>
      <c r="V5" s="423"/>
      <c r="W5" s="423"/>
      <c r="X5" s="423"/>
      <c r="Y5" s="423"/>
      <c r="Z5" s="423"/>
      <c r="AA5" s="423"/>
    </row>
    <row r="6" spans="1:27" s="522" customFormat="1" ht="23.25" customHeight="1">
      <c r="A6" s="4"/>
      <c r="B6" s="5"/>
      <c r="C6" s="11" t="s">
        <v>347</v>
      </c>
      <c r="D6" s="718" t="str">
        <f>Translations!$B$1549</f>
        <v>Feuille «Initial situation» («Situation initiale»)</v>
      </c>
      <c r="E6" s="742"/>
      <c r="F6" s="742"/>
      <c r="G6" s="742"/>
      <c r="H6" s="742"/>
      <c r="I6" s="742"/>
      <c r="J6" s="742"/>
      <c r="K6" s="742"/>
      <c r="L6" s="742"/>
      <c r="M6" s="742"/>
      <c r="N6" s="742"/>
      <c r="O6" s="9"/>
      <c r="P6" s="9"/>
      <c r="Q6" s="423"/>
      <c r="R6" s="423"/>
      <c r="S6" s="423"/>
      <c r="T6" s="423"/>
      <c r="U6" s="423"/>
      <c r="V6" s="423"/>
      <c r="W6" s="423"/>
      <c r="X6" s="423"/>
      <c r="Y6" s="423"/>
      <c r="Z6" s="423"/>
      <c r="AA6" s="423"/>
    </row>
    <row r="7" spans="1:27" s="522" customFormat="1" ht="12.75">
      <c r="A7" s="4"/>
      <c r="B7" s="18"/>
      <c r="C7" s="18"/>
      <c r="D7" s="102"/>
      <c r="E7" s="100"/>
      <c r="F7" s="15"/>
      <c r="G7" s="15"/>
      <c r="H7" s="9"/>
      <c r="I7" s="9"/>
      <c r="J7" s="101"/>
      <c r="K7" s="101"/>
      <c r="L7" s="101"/>
      <c r="M7" s="18"/>
      <c r="N7" s="18"/>
      <c r="O7" s="18"/>
      <c r="P7" s="18"/>
      <c r="Q7" s="423"/>
      <c r="R7" s="423"/>
      <c r="S7" s="423"/>
      <c r="T7" s="423"/>
      <c r="U7" s="423"/>
      <c r="V7" s="423"/>
      <c r="W7" s="423"/>
      <c r="X7" s="423"/>
      <c r="Y7" s="423"/>
      <c r="Z7" s="423"/>
      <c r="AA7" s="423"/>
    </row>
    <row r="8" spans="1:27" s="524" customFormat="1" ht="18" customHeight="1">
      <c r="A8" s="371"/>
      <c r="B8" s="208"/>
      <c r="C8" s="316" t="s">
        <v>42</v>
      </c>
      <c r="D8" s="332" t="str">
        <f>Translations!$B$1550</f>
        <v>Situation AVANT la fusion des installations</v>
      </c>
      <c r="E8" s="332"/>
      <c r="F8" s="332"/>
      <c r="G8" s="332"/>
      <c r="H8" s="332"/>
      <c r="I8" s="332"/>
      <c r="J8" s="332"/>
      <c r="K8" s="332"/>
      <c r="L8" s="332"/>
      <c r="M8" s="332"/>
      <c r="N8" s="332"/>
      <c r="O8" s="209"/>
      <c r="P8" s="209"/>
      <c r="Q8" s="363" t="s">
        <v>331</v>
      </c>
      <c r="R8" s="363" t="s">
        <v>331</v>
      </c>
      <c r="S8" s="363" t="s">
        <v>331</v>
      </c>
      <c r="T8" s="363" t="s">
        <v>331</v>
      </c>
      <c r="U8" s="363" t="s">
        <v>331</v>
      </c>
      <c r="V8" s="363" t="s">
        <v>331</v>
      </c>
      <c r="W8" s="363" t="s">
        <v>331</v>
      </c>
      <c r="X8" s="363" t="s">
        <v>331</v>
      </c>
      <c r="Y8" s="363" t="s">
        <v>331</v>
      </c>
      <c r="Z8" s="363" t="s">
        <v>331</v>
      </c>
      <c r="AA8" s="363"/>
    </row>
    <row r="9" spans="1:27" s="522" customFormat="1" ht="12.75" customHeight="1" thickBot="1">
      <c r="A9" s="4"/>
      <c r="B9" s="5"/>
      <c r="C9" s="5"/>
      <c r="D9" s="5"/>
      <c r="E9" s="5"/>
      <c r="F9" s="5"/>
      <c r="G9" s="5"/>
      <c r="H9" s="5"/>
      <c r="I9" s="5"/>
      <c r="J9" s="5"/>
      <c r="K9" s="5"/>
      <c r="L9" s="5"/>
      <c r="M9" s="9"/>
      <c r="N9" s="9"/>
      <c r="O9" s="9"/>
      <c r="P9" s="9"/>
      <c r="Q9" s="441"/>
      <c r="R9" s="423"/>
      <c r="S9" s="423"/>
      <c r="T9" s="423"/>
      <c r="U9" s="423"/>
      <c r="V9" s="423"/>
      <c r="W9" s="423"/>
      <c r="X9" s="423"/>
      <c r="Y9" s="423"/>
      <c r="Z9" s="423"/>
      <c r="AA9" s="423"/>
    </row>
    <row r="10" spans="1:27" s="525" customFormat="1" ht="18" customHeight="1" thickBot="1">
      <c r="A10" s="207"/>
      <c r="B10" s="208"/>
      <c r="C10" s="337">
        <v>1</v>
      </c>
      <c r="D10" s="972" t="str">
        <f>Translations!$B$1492&amp;" "&amp;C10&amp;":"</f>
        <v>Installation AVANT fusion, scission ou transfert 1:</v>
      </c>
      <c r="E10" s="972"/>
      <c r="F10" s="972"/>
      <c r="G10" s="972"/>
      <c r="H10" s="972"/>
      <c r="I10" s="972"/>
      <c r="J10" s="973"/>
      <c r="K10" s="952">
        <f>INDEX(A_InstallationData!$J$200:$J$273,MATCH($C10,A_InstallationData!$R$200:$R$273,0))</f>
      </c>
      <c r="L10" s="953"/>
      <c r="M10" s="953"/>
      <c r="N10" s="954"/>
      <c r="O10" s="339"/>
      <c r="P10" s="331"/>
      <c r="Q10" s="502"/>
      <c r="R10" s="445"/>
      <c r="S10" s="445"/>
      <c r="T10" s="423"/>
      <c r="U10" s="445"/>
      <c r="V10" s="445"/>
      <c r="W10" s="445"/>
      <c r="X10" s="445"/>
      <c r="Y10" s="445"/>
      <c r="Z10" s="447" t="s">
        <v>299</v>
      </c>
      <c r="AA10" s="423"/>
    </row>
    <row r="11" spans="1:27" s="522" customFormat="1" ht="18" customHeight="1">
      <c r="A11" s="4"/>
      <c r="B11" s="5"/>
      <c r="C11" s="7"/>
      <c r="D11" s="5"/>
      <c r="E11" s="9"/>
      <c r="F11" s="5"/>
      <c r="G11" s="5"/>
      <c r="H11" s="5"/>
      <c r="I11" s="5"/>
      <c r="J11" s="5"/>
      <c r="K11" s="5"/>
      <c r="L11" s="5"/>
      <c r="M11" s="955">
        <f>IF(CNTR_Merger&lt;&gt;TRUE,"",IF(K10="",EUconst_NotRelevant,EUconst_Relevant))</f>
      </c>
      <c r="N11" s="955"/>
      <c r="O11" s="315"/>
      <c r="P11" s="9"/>
      <c r="Q11" s="441"/>
      <c r="R11" s="423"/>
      <c r="S11" s="423"/>
      <c r="T11" s="423"/>
      <c r="U11" s="423"/>
      <c r="V11" s="423"/>
      <c r="W11" s="423"/>
      <c r="X11" s="423"/>
      <c r="Y11" s="423"/>
      <c r="Z11" s="423"/>
      <c r="AA11" s="423"/>
    </row>
    <row r="12" spans="1:27" s="522" customFormat="1" ht="12.75" customHeight="1">
      <c r="A12" s="4"/>
      <c r="B12" s="5"/>
      <c r="C12" s="7"/>
      <c r="D12" s="5"/>
      <c r="E12" s="5"/>
      <c r="F12" s="5"/>
      <c r="G12" s="5"/>
      <c r="H12" s="5"/>
      <c r="I12" s="5"/>
      <c r="J12" s="5"/>
      <c r="K12" s="5"/>
      <c r="L12" s="5"/>
      <c r="M12" s="9"/>
      <c r="N12" s="9"/>
      <c r="O12" s="315"/>
      <c r="P12" s="9"/>
      <c r="Q12" s="441"/>
      <c r="R12" s="423"/>
      <c r="S12" s="423"/>
      <c r="T12" s="423"/>
      <c r="U12" s="423"/>
      <c r="V12" s="423"/>
      <c r="W12" s="423"/>
      <c r="X12" s="423"/>
      <c r="Y12" s="423"/>
      <c r="Z12" s="423"/>
      <c r="AA12" s="423"/>
    </row>
    <row r="13" spans="1:27" s="522" customFormat="1" ht="12.75" customHeight="1">
      <c r="A13" s="4"/>
      <c r="B13" s="5"/>
      <c r="C13" s="5"/>
      <c r="D13" s="193" t="s">
        <v>463</v>
      </c>
      <c r="E13" s="743" t="str">
        <f>Translations!$B$1551</f>
        <v>Allocation finale la plus récente sans facteurs d’ajustement pour cessation partielle</v>
      </c>
      <c r="F13" s="742"/>
      <c r="G13" s="742"/>
      <c r="H13" s="742"/>
      <c r="I13" s="742"/>
      <c r="J13" s="742"/>
      <c r="K13" s="742"/>
      <c r="L13" s="742"/>
      <c r="M13" s="742"/>
      <c r="N13" s="742"/>
      <c r="O13" s="317"/>
      <c r="P13" s="378"/>
      <c r="Q13" s="441"/>
      <c r="R13" s="423"/>
      <c r="S13" s="423"/>
      <c r="T13" s="423"/>
      <c r="U13" s="423"/>
      <c r="V13" s="423"/>
      <c r="W13" s="423"/>
      <c r="X13" s="423"/>
      <c r="Y13" s="423"/>
      <c r="Z13" s="423"/>
      <c r="AA13" s="423"/>
    </row>
    <row r="14" spans="1:27" s="522" customFormat="1" ht="12.75" customHeight="1">
      <c r="A14" s="4"/>
      <c r="B14" s="5"/>
      <c r="C14" s="5"/>
      <c r="D14" s="193"/>
      <c r="E14" s="796" t="str">
        <f>Translations!$B$1552</f>
        <v>Veuillez indiquer ici la dernière quantité totale finale de quotas alloués à titre gratuit sans application des facteurs d’ajustement conformément à l’article 23 des CIM.</v>
      </c>
      <c r="F14" s="721"/>
      <c r="G14" s="721"/>
      <c r="H14" s="721"/>
      <c r="I14" s="721"/>
      <c r="J14" s="721"/>
      <c r="K14" s="721"/>
      <c r="L14" s="721"/>
      <c r="M14" s="721"/>
      <c r="N14" s="721"/>
      <c r="O14" s="317"/>
      <c r="P14" s="323"/>
      <c r="Q14" s="441"/>
      <c r="R14" s="423"/>
      <c r="S14" s="423"/>
      <c r="T14" s="423"/>
      <c r="U14" s="423"/>
      <c r="V14" s="423"/>
      <c r="W14" s="423"/>
      <c r="X14" s="423"/>
      <c r="Y14" s="423"/>
      <c r="Z14" s="423"/>
      <c r="AA14" s="423"/>
    </row>
    <row r="15" spans="1:27" s="522" customFormat="1" ht="4.5" customHeight="1">
      <c r="A15" s="4"/>
      <c r="B15" s="5"/>
      <c r="C15" s="5"/>
      <c r="D15" s="5"/>
      <c r="E15" s="5"/>
      <c r="F15" s="5"/>
      <c r="G15" s="5"/>
      <c r="H15" s="5"/>
      <c r="I15" s="5"/>
      <c r="J15" s="5"/>
      <c r="K15" s="5"/>
      <c r="L15" s="5"/>
      <c r="M15" s="9"/>
      <c r="N15" s="9"/>
      <c r="O15" s="323"/>
      <c r="P15" s="9"/>
      <c r="Q15" s="441"/>
      <c r="R15" s="423"/>
      <c r="S15" s="423"/>
      <c r="T15" s="423"/>
      <c r="U15" s="423"/>
      <c r="V15" s="423"/>
      <c r="W15" s="423"/>
      <c r="X15" s="423"/>
      <c r="Y15" s="423"/>
      <c r="Z15" s="423"/>
      <c r="AA15" s="423"/>
    </row>
    <row r="16" spans="1:27" s="522" customFormat="1" ht="12.75" customHeight="1" thickBot="1">
      <c r="A16" s="4"/>
      <c r="B16" s="5"/>
      <c r="C16" s="20"/>
      <c r="D16" s="857" t="str">
        <f>Translations!$B$440</f>
        <v>Sous-installation</v>
      </c>
      <c r="E16" s="896"/>
      <c r="F16" s="968"/>
      <c r="G16" s="211">
        <v>2013</v>
      </c>
      <c r="H16" s="211">
        <v>2014</v>
      </c>
      <c r="I16" s="211">
        <v>2015</v>
      </c>
      <c r="J16" s="211">
        <v>2016</v>
      </c>
      <c r="K16" s="211">
        <v>2017</v>
      </c>
      <c r="L16" s="211">
        <v>2018</v>
      </c>
      <c r="M16" s="211">
        <v>2019</v>
      </c>
      <c r="N16" s="211">
        <v>2020</v>
      </c>
      <c r="O16" s="323"/>
      <c r="P16" s="321"/>
      <c r="Q16" s="441"/>
      <c r="R16" s="423"/>
      <c r="S16" s="423"/>
      <c r="T16" s="449" t="s">
        <v>500</v>
      </c>
      <c r="U16" s="423"/>
      <c r="V16" s="449" t="s">
        <v>548</v>
      </c>
      <c r="W16" s="423"/>
      <c r="X16" s="450" t="s">
        <v>549</v>
      </c>
      <c r="Y16" s="423"/>
      <c r="Z16" s="447" t="s">
        <v>299</v>
      </c>
      <c r="AA16" s="423"/>
    </row>
    <row r="17" spans="1:27" s="522" customFormat="1" ht="12.75" customHeight="1" thickBot="1">
      <c r="A17" s="4"/>
      <c r="B17" s="5"/>
      <c r="C17" s="210">
        <v>0</v>
      </c>
      <c r="D17" s="946" t="str">
        <f>Translations!$B$1447</f>
        <v>Phase antérieure au début</v>
      </c>
      <c r="E17" s="947"/>
      <c r="F17" s="948"/>
      <c r="G17" s="514"/>
      <c r="H17" s="514"/>
      <c r="I17" s="514"/>
      <c r="J17" s="514"/>
      <c r="K17" s="514"/>
      <c r="L17" s="514"/>
      <c r="M17" s="514"/>
      <c r="N17" s="514"/>
      <c r="O17" s="323"/>
      <c r="P17" s="321"/>
      <c r="Q17" s="451" t="str">
        <f aca="true" t="shared" si="0" ref="Q17:Q34">EUconst_CNTR_Finitial&amp;$V17&amp;"_"&amp;$D17</f>
        <v>FInitial_1_Phase antérieure au début</v>
      </c>
      <c r="R17" s="423"/>
      <c r="S17" s="423"/>
      <c r="T17" s="449"/>
      <c r="U17" s="423"/>
      <c r="V17" s="452">
        <f>C10</f>
        <v>1</v>
      </c>
      <c r="W17" s="423"/>
      <c r="X17" s="448" t="b">
        <f aca="true" t="shared" si="1" ref="X17:X34">COUNT(G17:N17)&gt;0</f>
        <v>0</v>
      </c>
      <c r="Y17" s="423"/>
      <c r="Z17" s="448" t="b">
        <f>M11=EUconst_NotRelevant</f>
        <v>0</v>
      </c>
      <c r="AA17" s="423"/>
    </row>
    <row r="18" spans="1:27" s="522" customFormat="1" ht="12.75" customHeight="1">
      <c r="A18" s="4"/>
      <c r="B18" s="5"/>
      <c r="C18" s="29">
        <v>1</v>
      </c>
      <c r="D18" s="969"/>
      <c r="E18" s="970"/>
      <c r="F18" s="971"/>
      <c r="G18" s="348"/>
      <c r="H18" s="348"/>
      <c r="I18" s="348"/>
      <c r="J18" s="348"/>
      <c r="K18" s="348"/>
      <c r="L18" s="348"/>
      <c r="M18" s="348"/>
      <c r="N18" s="348"/>
      <c r="O18" s="323"/>
      <c r="P18" s="321"/>
      <c r="Q18" s="451" t="str">
        <f t="shared" si="0"/>
        <v>FInitial_1_</v>
      </c>
      <c r="R18" s="423"/>
      <c r="S18" s="423"/>
      <c r="T18" s="452">
        <f>IF(OR(D18="",COUNTIF($D$17:D18,D18)&gt;1),"",MAX($T$17:T17)+1)</f>
      </c>
      <c r="U18" s="423"/>
      <c r="V18" s="453">
        <f aca="true" t="shared" si="2" ref="V18:V34">V17</f>
        <v>1</v>
      </c>
      <c r="W18" s="423"/>
      <c r="X18" s="448" t="b">
        <f t="shared" si="1"/>
        <v>0</v>
      </c>
      <c r="Y18" s="423"/>
      <c r="Z18" s="448" t="b">
        <f aca="true" t="shared" si="3" ref="Z18:Z35">Z17</f>
        <v>0</v>
      </c>
      <c r="AA18" s="423"/>
    </row>
    <row r="19" spans="1:27" s="522" customFormat="1" ht="12.75" customHeight="1">
      <c r="A19" s="4"/>
      <c r="B19" s="5"/>
      <c r="C19" s="29">
        <v>2</v>
      </c>
      <c r="D19" s="855"/>
      <c r="E19" s="872"/>
      <c r="F19" s="856"/>
      <c r="G19" s="347"/>
      <c r="H19" s="347"/>
      <c r="I19" s="347"/>
      <c r="J19" s="347"/>
      <c r="K19" s="347"/>
      <c r="L19" s="347"/>
      <c r="M19" s="347"/>
      <c r="N19" s="347"/>
      <c r="O19" s="323"/>
      <c r="P19" s="321"/>
      <c r="Q19" s="451" t="str">
        <f t="shared" si="0"/>
        <v>FInitial_1_</v>
      </c>
      <c r="R19" s="423"/>
      <c r="S19" s="423"/>
      <c r="T19" s="453">
        <f>IF(OR(D19="",COUNTIF($D$17:D19,D19)&gt;1),"",MAX($T$17:T18)+1)</f>
      </c>
      <c r="U19" s="423"/>
      <c r="V19" s="453">
        <f t="shared" si="2"/>
        <v>1</v>
      </c>
      <c r="W19" s="423"/>
      <c r="X19" s="448" t="b">
        <f t="shared" si="1"/>
        <v>0</v>
      </c>
      <c r="Y19" s="423"/>
      <c r="Z19" s="448" t="b">
        <f t="shared" si="3"/>
        <v>0</v>
      </c>
      <c r="AA19" s="423"/>
    </row>
    <row r="20" spans="1:27" s="522" customFormat="1" ht="12.75" customHeight="1">
      <c r="A20" s="4"/>
      <c r="B20" s="5"/>
      <c r="C20" s="29">
        <v>3</v>
      </c>
      <c r="D20" s="855"/>
      <c r="E20" s="872"/>
      <c r="F20" s="856"/>
      <c r="G20" s="347"/>
      <c r="H20" s="347"/>
      <c r="I20" s="347"/>
      <c r="J20" s="347"/>
      <c r="K20" s="347"/>
      <c r="L20" s="347"/>
      <c r="M20" s="347"/>
      <c r="N20" s="347"/>
      <c r="O20" s="323"/>
      <c r="P20" s="321"/>
      <c r="Q20" s="451" t="str">
        <f t="shared" si="0"/>
        <v>FInitial_1_</v>
      </c>
      <c r="R20" s="423"/>
      <c r="S20" s="423"/>
      <c r="T20" s="453">
        <f>IF(OR(D20="",COUNTIF($D$17:D20,D20)&gt;1),"",MAX($T$17:T19)+1)</f>
      </c>
      <c r="U20" s="423"/>
      <c r="V20" s="453">
        <f t="shared" si="2"/>
        <v>1</v>
      </c>
      <c r="W20" s="423"/>
      <c r="X20" s="448" t="b">
        <f t="shared" si="1"/>
        <v>0</v>
      </c>
      <c r="Y20" s="423"/>
      <c r="Z20" s="448" t="b">
        <f t="shared" si="3"/>
        <v>0</v>
      </c>
      <c r="AA20" s="423"/>
    </row>
    <row r="21" spans="1:27" s="522" customFormat="1" ht="12.75" customHeight="1">
      <c r="A21" s="4"/>
      <c r="B21" s="5"/>
      <c r="C21" s="29">
        <v>4</v>
      </c>
      <c r="D21" s="855"/>
      <c r="E21" s="872"/>
      <c r="F21" s="856"/>
      <c r="G21" s="347"/>
      <c r="H21" s="347"/>
      <c r="I21" s="347"/>
      <c r="J21" s="347"/>
      <c r="K21" s="347"/>
      <c r="L21" s="347"/>
      <c r="M21" s="347"/>
      <c r="N21" s="347"/>
      <c r="O21" s="323"/>
      <c r="P21" s="321"/>
      <c r="Q21" s="451" t="str">
        <f t="shared" si="0"/>
        <v>FInitial_1_</v>
      </c>
      <c r="R21" s="423"/>
      <c r="S21" s="423"/>
      <c r="T21" s="453">
        <f>IF(OR(D21="",COUNTIF($D$17:D21,D21)&gt;1),"",MAX($T$17:T20)+1)</f>
      </c>
      <c r="U21" s="423"/>
      <c r="V21" s="453">
        <f t="shared" si="2"/>
        <v>1</v>
      </c>
      <c r="W21" s="423"/>
      <c r="X21" s="448" t="b">
        <f t="shared" si="1"/>
        <v>0</v>
      </c>
      <c r="Y21" s="423"/>
      <c r="Z21" s="448" t="b">
        <f t="shared" si="3"/>
        <v>0</v>
      </c>
      <c r="AA21" s="423"/>
    </row>
    <row r="22" spans="1:27" s="522" customFormat="1" ht="12.75" customHeight="1">
      <c r="A22" s="4"/>
      <c r="B22" s="5"/>
      <c r="C22" s="29">
        <v>5</v>
      </c>
      <c r="D22" s="855"/>
      <c r="E22" s="872"/>
      <c r="F22" s="856"/>
      <c r="G22" s="347"/>
      <c r="H22" s="347"/>
      <c r="I22" s="347"/>
      <c r="J22" s="347"/>
      <c r="K22" s="347"/>
      <c r="L22" s="347"/>
      <c r="M22" s="347"/>
      <c r="N22" s="347"/>
      <c r="O22" s="323"/>
      <c r="P22" s="321"/>
      <c r="Q22" s="451" t="str">
        <f t="shared" si="0"/>
        <v>FInitial_1_</v>
      </c>
      <c r="R22" s="423"/>
      <c r="S22" s="423"/>
      <c r="T22" s="453">
        <f>IF(OR(D22="",COUNTIF($D$17:D22,D22)&gt;1),"",MAX($T$17:T21)+1)</f>
      </c>
      <c r="U22" s="423"/>
      <c r="V22" s="453">
        <f t="shared" si="2"/>
        <v>1</v>
      </c>
      <c r="W22" s="423"/>
      <c r="X22" s="448" t="b">
        <f t="shared" si="1"/>
        <v>0</v>
      </c>
      <c r="Y22" s="423"/>
      <c r="Z22" s="448" t="b">
        <f t="shared" si="3"/>
        <v>0</v>
      </c>
      <c r="AA22" s="423"/>
    </row>
    <row r="23" spans="1:27" s="522" customFormat="1" ht="12.75" customHeight="1">
      <c r="A23" s="4"/>
      <c r="B23" s="5"/>
      <c r="C23" s="29">
        <v>6</v>
      </c>
      <c r="D23" s="855"/>
      <c r="E23" s="872"/>
      <c r="F23" s="856"/>
      <c r="G23" s="347"/>
      <c r="H23" s="347"/>
      <c r="I23" s="347"/>
      <c r="J23" s="347"/>
      <c r="K23" s="347"/>
      <c r="L23" s="347"/>
      <c r="M23" s="347"/>
      <c r="N23" s="347"/>
      <c r="O23" s="323"/>
      <c r="P23" s="9"/>
      <c r="Q23" s="451" t="str">
        <f t="shared" si="0"/>
        <v>FInitial_1_</v>
      </c>
      <c r="R23" s="423"/>
      <c r="S23" s="423"/>
      <c r="T23" s="453">
        <f>IF(OR(D23="",COUNTIF($D$17:D23,D23)&gt;1),"",MAX($T$17:T22)+1)</f>
      </c>
      <c r="U23" s="423"/>
      <c r="V23" s="453">
        <f t="shared" si="2"/>
        <v>1</v>
      </c>
      <c r="W23" s="423"/>
      <c r="X23" s="448" t="b">
        <f t="shared" si="1"/>
        <v>0</v>
      </c>
      <c r="Y23" s="423"/>
      <c r="Z23" s="448" t="b">
        <f t="shared" si="3"/>
        <v>0</v>
      </c>
      <c r="AA23" s="423"/>
    </row>
    <row r="24" spans="1:27" s="522" customFormat="1" ht="12.75" customHeight="1">
      <c r="A24" s="4"/>
      <c r="B24" s="5"/>
      <c r="C24" s="29">
        <v>7</v>
      </c>
      <c r="D24" s="855"/>
      <c r="E24" s="872"/>
      <c r="F24" s="856"/>
      <c r="G24" s="347"/>
      <c r="H24" s="347"/>
      <c r="I24" s="347"/>
      <c r="J24" s="347"/>
      <c r="K24" s="347"/>
      <c r="L24" s="347"/>
      <c r="M24" s="347"/>
      <c r="N24" s="347"/>
      <c r="O24" s="323"/>
      <c r="P24" s="9"/>
      <c r="Q24" s="451" t="str">
        <f t="shared" si="0"/>
        <v>FInitial_1_</v>
      </c>
      <c r="R24" s="423"/>
      <c r="S24" s="423"/>
      <c r="T24" s="453">
        <f>IF(OR(D24="",COUNTIF($D$17:D24,D24)&gt;1),"",MAX($T$17:T23)+1)</f>
      </c>
      <c r="U24" s="423"/>
      <c r="V24" s="453">
        <f t="shared" si="2"/>
        <v>1</v>
      </c>
      <c r="W24" s="423"/>
      <c r="X24" s="448" t="b">
        <f t="shared" si="1"/>
        <v>0</v>
      </c>
      <c r="Y24" s="423"/>
      <c r="Z24" s="448" t="b">
        <f t="shared" si="3"/>
        <v>0</v>
      </c>
      <c r="AA24" s="423"/>
    </row>
    <row r="25" spans="1:27" s="522" customFormat="1" ht="12.75" customHeight="1">
      <c r="A25" s="4"/>
      <c r="B25" s="5"/>
      <c r="C25" s="29">
        <v>8</v>
      </c>
      <c r="D25" s="855"/>
      <c r="E25" s="872"/>
      <c r="F25" s="856"/>
      <c r="G25" s="347"/>
      <c r="H25" s="347"/>
      <c r="I25" s="347"/>
      <c r="J25" s="347"/>
      <c r="K25" s="347"/>
      <c r="L25" s="347"/>
      <c r="M25" s="347"/>
      <c r="N25" s="347"/>
      <c r="O25" s="323"/>
      <c r="P25" s="9"/>
      <c r="Q25" s="451" t="str">
        <f t="shared" si="0"/>
        <v>FInitial_1_</v>
      </c>
      <c r="R25" s="423"/>
      <c r="S25" s="423"/>
      <c r="T25" s="453">
        <f>IF(OR(D25="",COUNTIF($D$17:D25,D25)&gt;1),"",MAX($T$17:T24)+1)</f>
      </c>
      <c r="U25" s="423"/>
      <c r="V25" s="453">
        <f t="shared" si="2"/>
        <v>1</v>
      </c>
      <c r="W25" s="423"/>
      <c r="X25" s="448" t="b">
        <f t="shared" si="1"/>
        <v>0</v>
      </c>
      <c r="Y25" s="423"/>
      <c r="Z25" s="448" t="b">
        <f t="shared" si="3"/>
        <v>0</v>
      </c>
      <c r="AA25" s="423"/>
    </row>
    <row r="26" spans="1:27" s="522" customFormat="1" ht="12.75" customHeight="1">
      <c r="A26" s="4"/>
      <c r="B26" s="5"/>
      <c r="C26" s="29">
        <v>9</v>
      </c>
      <c r="D26" s="855"/>
      <c r="E26" s="872"/>
      <c r="F26" s="856"/>
      <c r="G26" s="347"/>
      <c r="H26" s="347"/>
      <c r="I26" s="347"/>
      <c r="J26" s="347"/>
      <c r="K26" s="347"/>
      <c r="L26" s="347"/>
      <c r="M26" s="347"/>
      <c r="N26" s="347"/>
      <c r="O26" s="323"/>
      <c r="P26" s="9"/>
      <c r="Q26" s="451" t="str">
        <f t="shared" si="0"/>
        <v>FInitial_1_</v>
      </c>
      <c r="R26" s="423"/>
      <c r="S26" s="423"/>
      <c r="T26" s="453">
        <f>IF(OR(D26="",COUNTIF($D$17:D26,D26)&gt;1),"",MAX($T$17:T25)+1)</f>
      </c>
      <c r="U26" s="423"/>
      <c r="V26" s="453">
        <f t="shared" si="2"/>
        <v>1</v>
      </c>
      <c r="W26" s="423"/>
      <c r="X26" s="448" t="b">
        <f t="shared" si="1"/>
        <v>0</v>
      </c>
      <c r="Y26" s="423"/>
      <c r="Z26" s="448" t="b">
        <f t="shared" si="3"/>
        <v>0</v>
      </c>
      <c r="AA26" s="423"/>
    </row>
    <row r="27" spans="1:27" s="522" customFormat="1" ht="12.75" customHeight="1" thickBot="1">
      <c r="A27" s="4"/>
      <c r="B27" s="5"/>
      <c r="C27" s="25">
        <v>10</v>
      </c>
      <c r="D27" s="878"/>
      <c r="E27" s="879"/>
      <c r="F27" s="880"/>
      <c r="G27" s="187"/>
      <c r="H27" s="187"/>
      <c r="I27" s="187"/>
      <c r="J27" s="187"/>
      <c r="K27" s="187"/>
      <c r="L27" s="187"/>
      <c r="M27" s="187"/>
      <c r="N27" s="187"/>
      <c r="O27" s="323"/>
      <c r="P27" s="9"/>
      <c r="Q27" s="451" t="str">
        <f t="shared" si="0"/>
        <v>FInitial_1_</v>
      </c>
      <c r="R27" s="423"/>
      <c r="S27" s="423"/>
      <c r="T27" s="454">
        <f>IF(OR(D27="",COUNTIF($D$17:D27,D27)&gt;1),"",MAX($T$17:T26)+1)</f>
      </c>
      <c r="U27" s="423"/>
      <c r="V27" s="453">
        <f t="shared" si="2"/>
        <v>1</v>
      </c>
      <c r="W27" s="423"/>
      <c r="X27" s="448" t="b">
        <f t="shared" si="1"/>
        <v>0</v>
      </c>
      <c r="Y27" s="423"/>
      <c r="Z27" s="448" t="b">
        <f t="shared" si="3"/>
        <v>0</v>
      </c>
      <c r="AA27" s="423"/>
    </row>
    <row r="28" spans="1:27" s="522" customFormat="1" ht="38.25" customHeight="1">
      <c r="A28" s="4"/>
      <c r="B28" s="5"/>
      <c r="C28" s="29">
        <v>11</v>
      </c>
      <c r="D28" s="937" t="str">
        <f aca="true" t="shared" si="4" ref="D28:D33">INDEX(EUconst_FallBackListNames,C28-10)</f>
        <v>Sous-installation avec référentiel de chaleur, CL (risque de fuite de carbone)</v>
      </c>
      <c r="E28" s="938"/>
      <c r="F28" s="939"/>
      <c r="G28" s="348"/>
      <c r="H28" s="348"/>
      <c r="I28" s="348"/>
      <c r="J28" s="348"/>
      <c r="K28" s="348"/>
      <c r="L28" s="348"/>
      <c r="M28" s="348"/>
      <c r="N28" s="348"/>
      <c r="O28" s="323"/>
      <c r="P28" s="9"/>
      <c r="Q28" s="451" t="str">
        <f t="shared" si="0"/>
        <v>FInitial_1_Sous-installation avec référentiel de chaleur, CL (risque de fuite de carbone)</v>
      </c>
      <c r="R28" s="423"/>
      <c r="S28" s="423"/>
      <c r="T28" s="423"/>
      <c r="U28" s="423"/>
      <c r="V28" s="453">
        <f t="shared" si="2"/>
        <v>1</v>
      </c>
      <c r="W28" s="423"/>
      <c r="X28" s="448" t="b">
        <f t="shared" si="1"/>
        <v>0</v>
      </c>
      <c r="Y28" s="423"/>
      <c r="Z28" s="448" t="b">
        <f t="shared" si="3"/>
        <v>0</v>
      </c>
      <c r="AA28" s="423"/>
    </row>
    <row r="29" spans="1:27" s="522" customFormat="1" ht="38.25" customHeight="1">
      <c r="A29" s="4"/>
      <c r="B29" s="5"/>
      <c r="C29" s="29">
        <v>12</v>
      </c>
      <c r="D29" s="940" t="str">
        <f t="shared" si="4"/>
        <v>Sous-installation avec référentiel de chaleur, non-CL (sans risque de fuite de carbone)</v>
      </c>
      <c r="E29" s="941"/>
      <c r="F29" s="942"/>
      <c r="G29" s="347"/>
      <c r="H29" s="347"/>
      <c r="I29" s="347"/>
      <c r="J29" s="347"/>
      <c r="K29" s="347"/>
      <c r="L29" s="347"/>
      <c r="M29" s="347"/>
      <c r="N29" s="347"/>
      <c r="O29" s="323"/>
      <c r="P29" s="9"/>
      <c r="Q29" s="451" t="str">
        <f t="shared" si="0"/>
        <v>FInitial_1_Sous-installation avec référentiel de chaleur, non-CL (sans risque de fuite de carbone)</v>
      </c>
      <c r="R29" s="423"/>
      <c r="S29" s="423"/>
      <c r="T29" s="423"/>
      <c r="U29" s="423"/>
      <c r="V29" s="453">
        <f t="shared" si="2"/>
        <v>1</v>
      </c>
      <c r="W29" s="423"/>
      <c r="X29" s="448" t="b">
        <f t="shared" si="1"/>
        <v>0</v>
      </c>
      <c r="Y29" s="423"/>
      <c r="Z29" s="448" t="b">
        <f t="shared" si="3"/>
        <v>0</v>
      </c>
      <c r="AA29" s="423"/>
    </row>
    <row r="30" spans="1:27" s="522" customFormat="1" ht="25.5" customHeight="1">
      <c r="A30" s="4"/>
      <c r="B30" s="5"/>
      <c r="C30" s="29">
        <v>13</v>
      </c>
      <c r="D30" s="940" t="str">
        <f t="shared" si="4"/>
        <v>Sous-installation avec référentiel de combustibles, CL</v>
      </c>
      <c r="E30" s="941"/>
      <c r="F30" s="942"/>
      <c r="G30" s="347"/>
      <c r="H30" s="347"/>
      <c r="I30" s="347"/>
      <c r="J30" s="347"/>
      <c r="K30" s="347"/>
      <c r="L30" s="347"/>
      <c r="M30" s="347"/>
      <c r="N30" s="347"/>
      <c r="O30" s="323"/>
      <c r="P30" s="9"/>
      <c r="Q30" s="451" t="str">
        <f t="shared" si="0"/>
        <v>FInitial_1_Sous-installation avec référentiel de combustibles, CL</v>
      </c>
      <c r="R30" s="423"/>
      <c r="S30" s="423"/>
      <c r="T30" s="423"/>
      <c r="U30" s="423"/>
      <c r="V30" s="453">
        <f t="shared" si="2"/>
        <v>1</v>
      </c>
      <c r="W30" s="423"/>
      <c r="X30" s="448" t="b">
        <f t="shared" si="1"/>
        <v>0</v>
      </c>
      <c r="Y30" s="423"/>
      <c r="Z30" s="448" t="b">
        <f t="shared" si="3"/>
        <v>0</v>
      </c>
      <c r="AA30" s="423"/>
    </row>
    <row r="31" spans="1:27" s="522" customFormat="1" ht="25.5" customHeight="1">
      <c r="A31" s="4"/>
      <c r="B31" s="5"/>
      <c r="C31" s="29">
        <v>14</v>
      </c>
      <c r="D31" s="940" t="str">
        <f t="shared" si="4"/>
        <v>Sous-installation avec référentiel de combustibles, non-CL</v>
      </c>
      <c r="E31" s="941"/>
      <c r="F31" s="942"/>
      <c r="G31" s="347"/>
      <c r="H31" s="347"/>
      <c r="I31" s="347"/>
      <c r="J31" s="347"/>
      <c r="K31" s="347"/>
      <c r="L31" s="347"/>
      <c r="M31" s="347"/>
      <c r="N31" s="347"/>
      <c r="O31" s="323"/>
      <c r="P31" s="9"/>
      <c r="Q31" s="451" t="str">
        <f t="shared" si="0"/>
        <v>FInitial_1_Sous-installation avec référentiel de combustibles, non-CL</v>
      </c>
      <c r="R31" s="423"/>
      <c r="S31" s="423"/>
      <c r="T31" s="423"/>
      <c r="U31" s="423"/>
      <c r="V31" s="453">
        <f t="shared" si="2"/>
        <v>1</v>
      </c>
      <c r="W31" s="423"/>
      <c r="X31" s="448" t="b">
        <f t="shared" si="1"/>
        <v>0</v>
      </c>
      <c r="Y31" s="423"/>
      <c r="Z31" s="448" t="b">
        <f t="shared" si="3"/>
        <v>0</v>
      </c>
      <c r="AA31" s="423"/>
    </row>
    <row r="32" spans="1:27" s="522" customFormat="1" ht="25.5" customHeight="1">
      <c r="A32" s="4"/>
      <c r="B32" s="5"/>
      <c r="C32" s="29">
        <v>15</v>
      </c>
      <c r="D32" s="940" t="str">
        <f t="shared" si="4"/>
        <v>Sous-installation avec émissions de procédé, CL</v>
      </c>
      <c r="E32" s="941"/>
      <c r="F32" s="942"/>
      <c r="G32" s="347"/>
      <c r="H32" s="347"/>
      <c r="I32" s="347"/>
      <c r="J32" s="347"/>
      <c r="K32" s="347"/>
      <c r="L32" s="347"/>
      <c r="M32" s="347"/>
      <c r="N32" s="347"/>
      <c r="O32" s="323"/>
      <c r="P32" s="9"/>
      <c r="Q32" s="451" t="str">
        <f t="shared" si="0"/>
        <v>FInitial_1_Sous-installation avec émissions de procédé, CL</v>
      </c>
      <c r="R32" s="423"/>
      <c r="S32" s="423"/>
      <c r="T32" s="423"/>
      <c r="U32" s="423"/>
      <c r="V32" s="453">
        <f t="shared" si="2"/>
        <v>1</v>
      </c>
      <c r="W32" s="423"/>
      <c r="X32" s="448" t="b">
        <f t="shared" si="1"/>
        <v>0</v>
      </c>
      <c r="Y32" s="423"/>
      <c r="Z32" s="448" t="b">
        <f t="shared" si="3"/>
        <v>0</v>
      </c>
      <c r="AA32" s="423"/>
    </row>
    <row r="33" spans="1:27" s="522" customFormat="1" ht="25.5" customHeight="1">
      <c r="A33" s="4"/>
      <c r="B33" s="5"/>
      <c r="C33" s="29">
        <v>16</v>
      </c>
      <c r="D33" s="934" t="str">
        <f t="shared" si="4"/>
        <v>Sous-installation avec émissions de procédé, non-CL</v>
      </c>
      <c r="E33" s="935"/>
      <c r="F33" s="936"/>
      <c r="G33" s="373"/>
      <c r="H33" s="373"/>
      <c r="I33" s="373"/>
      <c r="J33" s="373"/>
      <c r="K33" s="373"/>
      <c r="L33" s="373"/>
      <c r="M33" s="373"/>
      <c r="N33" s="373"/>
      <c r="O33" s="323"/>
      <c r="P33" s="9"/>
      <c r="Q33" s="451" t="str">
        <f t="shared" si="0"/>
        <v>FInitial_1_Sous-installation avec émissions de procédé, non-CL</v>
      </c>
      <c r="R33" s="423"/>
      <c r="S33" s="423"/>
      <c r="T33" s="423"/>
      <c r="U33" s="423"/>
      <c r="V33" s="453">
        <f t="shared" si="2"/>
        <v>1</v>
      </c>
      <c r="W33" s="423"/>
      <c r="X33" s="448" t="b">
        <f t="shared" si="1"/>
        <v>0</v>
      </c>
      <c r="Y33" s="423"/>
      <c r="Z33" s="448" t="b">
        <f t="shared" si="3"/>
        <v>0</v>
      </c>
      <c r="AA33" s="423"/>
    </row>
    <row r="34" spans="1:27" s="522" customFormat="1" ht="12.75" customHeight="1" thickBot="1">
      <c r="A34" s="4"/>
      <c r="B34" s="5"/>
      <c r="C34" s="413">
        <v>17</v>
      </c>
      <c r="D34" s="943" t="str">
        <f>EUconst_PrivateHouseholds</f>
        <v>Ménages privés</v>
      </c>
      <c r="E34" s="944"/>
      <c r="F34" s="945"/>
      <c r="G34" s="415"/>
      <c r="H34" s="415"/>
      <c r="I34" s="415"/>
      <c r="J34" s="415"/>
      <c r="K34" s="415"/>
      <c r="L34" s="415"/>
      <c r="M34" s="415"/>
      <c r="N34" s="415"/>
      <c r="O34" s="323"/>
      <c r="P34" s="9"/>
      <c r="Q34" s="451" t="str">
        <f t="shared" si="0"/>
        <v>FInitial_1_Ménages privés</v>
      </c>
      <c r="R34" s="423"/>
      <c r="S34" s="423"/>
      <c r="T34" s="423"/>
      <c r="U34" s="423"/>
      <c r="V34" s="454">
        <f t="shared" si="2"/>
        <v>1</v>
      </c>
      <c r="W34" s="423"/>
      <c r="X34" s="448" t="b">
        <f t="shared" si="1"/>
        <v>0</v>
      </c>
      <c r="Y34" s="423"/>
      <c r="Z34" s="448" t="b">
        <f t="shared" si="3"/>
        <v>0</v>
      </c>
      <c r="AA34" s="423"/>
    </row>
    <row r="35" spans="1:27" s="522" customFormat="1" ht="12.75" customHeight="1">
      <c r="A35" s="4"/>
      <c r="B35" s="5"/>
      <c r="C35" s="18"/>
      <c r="D35" s="949" t="str">
        <f>EUconst_TotFreeAlloc</f>
        <v>Allocation totale finale à titre gratuit</v>
      </c>
      <c r="E35" s="950"/>
      <c r="F35" s="951"/>
      <c r="G35" s="212">
        <f aca="true" t="shared" si="5" ref="G35:N35">IF(COUNT(G17:G34)&gt;0,SUM(G17:G34),"")</f>
      </c>
      <c r="H35" s="212">
        <f t="shared" si="5"/>
      </c>
      <c r="I35" s="212">
        <f t="shared" si="5"/>
      </c>
      <c r="J35" s="212">
        <f t="shared" si="5"/>
      </c>
      <c r="K35" s="212">
        <f t="shared" si="5"/>
      </c>
      <c r="L35" s="212">
        <f t="shared" si="5"/>
      </c>
      <c r="M35" s="212">
        <f t="shared" si="5"/>
      </c>
      <c r="N35" s="212">
        <f t="shared" si="5"/>
      </c>
      <c r="O35" s="323"/>
      <c r="P35" s="9"/>
      <c r="Q35" s="441"/>
      <c r="R35" s="423"/>
      <c r="S35" s="423"/>
      <c r="T35" s="423"/>
      <c r="U35" s="423"/>
      <c r="V35" s="423"/>
      <c r="W35" s="423"/>
      <c r="X35" s="423"/>
      <c r="Y35" s="423"/>
      <c r="Z35" s="448" t="b">
        <f t="shared" si="3"/>
        <v>0</v>
      </c>
      <c r="AA35" s="423"/>
    </row>
    <row r="36" spans="1:27" s="522" customFormat="1" ht="12.75" customHeight="1">
      <c r="A36" s="4"/>
      <c r="B36" s="5"/>
      <c r="C36" s="7"/>
      <c r="D36" s="5"/>
      <c r="E36" s="5"/>
      <c r="F36" s="5"/>
      <c r="G36" s="5"/>
      <c r="H36" s="5"/>
      <c r="I36" s="5"/>
      <c r="J36" s="5"/>
      <c r="K36" s="5"/>
      <c r="L36" s="5"/>
      <c r="M36" s="9"/>
      <c r="N36" s="9"/>
      <c r="O36" s="315"/>
      <c r="P36" s="9"/>
      <c r="Q36" s="441"/>
      <c r="R36" s="423"/>
      <c r="S36" s="423"/>
      <c r="T36" s="423"/>
      <c r="U36" s="423"/>
      <c r="V36" s="423"/>
      <c r="W36" s="423"/>
      <c r="X36" s="423"/>
      <c r="Y36" s="423"/>
      <c r="Z36" s="423"/>
      <c r="AA36" s="423"/>
    </row>
    <row r="37" spans="1:27" s="522" customFormat="1" ht="12.75" customHeight="1">
      <c r="A37" s="4"/>
      <c r="B37" s="5"/>
      <c r="C37" s="5"/>
      <c r="D37" s="193" t="s">
        <v>246</v>
      </c>
      <c r="E37" s="743" t="str">
        <f>Translations!$B$1553</f>
        <v>Allocation finale la plus récente avec facteurs d’ajustement pour cessation partielle</v>
      </c>
      <c r="F37" s="742"/>
      <c r="G37" s="742"/>
      <c r="H37" s="742"/>
      <c r="I37" s="742"/>
      <c r="J37" s="742"/>
      <c r="K37" s="742"/>
      <c r="L37" s="742"/>
      <c r="M37" s="742"/>
      <c r="N37" s="742"/>
      <c r="O37" s="317"/>
      <c r="P37" s="378"/>
      <c r="Q37" s="441"/>
      <c r="R37" s="423"/>
      <c r="S37" s="423"/>
      <c r="T37" s="423"/>
      <c r="U37" s="423"/>
      <c r="V37" s="423"/>
      <c r="W37" s="423"/>
      <c r="X37" s="423"/>
      <c r="Y37" s="423"/>
      <c r="Z37" s="423"/>
      <c r="AA37" s="423"/>
    </row>
    <row r="38" spans="1:27" s="522" customFormat="1" ht="12.75" customHeight="1">
      <c r="A38" s="4"/>
      <c r="B38" s="5"/>
      <c r="C38" s="5"/>
      <c r="D38" s="193"/>
      <c r="E38" s="796" t="str">
        <f>Translations!$B$1554</f>
        <v>Veuillez indiquer ici la dernière quantité totale finale de quotas alloués à titre gratuit avec application des facteurs d’ajustement conformément à l’article 23 des CIM.</v>
      </c>
      <c r="F38" s="721"/>
      <c r="G38" s="721"/>
      <c r="H38" s="721"/>
      <c r="I38" s="721"/>
      <c r="J38" s="721"/>
      <c r="K38" s="721"/>
      <c r="L38" s="721"/>
      <c r="M38" s="721"/>
      <c r="N38" s="721"/>
      <c r="O38" s="317"/>
      <c r="P38" s="323"/>
      <c r="Q38" s="441"/>
      <c r="R38" s="423"/>
      <c r="S38" s="423"/>
      <c r="T38" s="423"/>
      <c r="U38" s="423"/>
      <c r="V38" s="423"/>
      <c r="W38" s="423"/>
      <c r="X38" s="423"/>
      <c r="Y38" s="423"/>
      <c r="Z38" s="423"/>
      <c r="AA38" s="423"/>
    </row>
    <row r="39" spans="1:27" s="522" customFormat="1" ht="4.5" customHeight="1">
      <c r="A39" s="4"/>
      <c r="B39" s="5"/>
      <c r="C39" s="5"/>
      <c r="D39" s="5"/>
      <c r="E39" s="5"/>
      <c r="F39" s="5"/>
      <c r="G39" s="5"/>
      <c r="H39" s="5"/>
      <c r="I39" s="5"/>
      <c r="J39" s="5"/>
      <c r="K39" s="5"/>
      <c r="L39" s="5"/>
      <c r="M39" s="9"/>
      <c r="N39" s="9"/>
      <c r="O39" s="323"/>
      <c r="P39" s="9"/>
      <c r="Q39" s="441"/>
      <c r="R39" s="441"/>
      <c r="S39" s="441"/>
      <c r="T39" s="441"/>
      <c r="U39" s="441"/>
      <c r="V39" s="441"/>
      <c r="W39" s="441"/>
      <c r="X39" s="441"/>
      <c r="Y39" s="423"/>
      <c r="Z39" s="423"/>
      <c r="AA39" s="423"/>
    </row>
    <row r="40" spans="1:27" s="522" customFormat="1" ht="12.75" customHeight="1">
      <c r="A40" s="4"/>
      <c r="B40" s="5"/>
      <c r="C40" s="20"/>
      <c r="D40" s="857" t="str">
        <f>Translations!$B$440</f>
        <v>Sous-installation</v>
      </c>
      <c r="E40" s="896"/>
      <c r="F40" s="968"/>
      <c r="G40" s="211">
        <v>2013</v>
      </c>
      <c r="H40" s="211">
        <v>2014</v>
      </c>
      <c r="I40" s="211">
        <v>2015</v>
      </c>
      <c r="J40" s="211">
        <v>2016</v>
      </c>
      <c r="K40" s="211">
        <v>2017</v>
      </c>
      <c r="L40" s="211">
        <v>2018</v>
      </c>
      <c r="M40" s="211">
        <v>2019</v>
      </c>
      <c r="N40" s="211">
        <v>2020</v>
      </c>
      <c r="O40" s="323"/>
      <c r="P40" s="321"/>
      <c r="Q40" s="441"/>
      <c r="R40" s="423"/>
      <c r="S40" s="423"/>
      <c r="T40" s="423"/>
      <c r="U40" s="119" t="s">
        <v>539</v>
      </c>
      <c r="V40" s="119" t="s">
        <v>536</v>
      </c>
      <c r="W40" s="10" t="s">
        <v>540</v>
      </c>
      <c r="X40" s="441" t="s">
        <v>571</v>
      </c>
      <c r="Y40" s="441" t="str">
        <f>EUconst_Unit</f>
        <v>Unité</v>
      </c>
      <c r="Z40" s="447" t="s">
        <v>299</v>
      </c>
      <c r="AA40" s="423"/>
    </row>
    <row r="41" spans="1:27" s="522" customFormat="1" ht="12.75" customHeight="1" thickBot="1">
      <c r="A41" s="4"/>
      <c r="B41" s="5"/>
      <c r="C41" s="210">
        <v>0</v>
      </c>
      <c r="D41" s="946" t="str">
        <f>Translations!$B$1447</f>
        <v>Phase antérieure au début</v>
      </c>
      <c r="E41" s="947"/>
      <c r="F41" s="948"/>
      <c r="G41" s="514"/>
      <c r="H41" s="514"/>
      <c r="I41" s="514"/>
      <c r="J41" s="514"/>
      <c r="K41" s="514"/>
      <c r="L41" s="514"/>
      <c r="M41" s="514"/>
      <c r="N41" s="514"/>
      <c r="O41" s="323"/>
      <c r="P41" s="321"/>
      <c r="Q41" s="441"/>
      <c r="R41" s="423"/>
      <c r="S41" s="423"/>
      <c r="T41" s="423"/>
      <c r="U41" s="451">
        <f>""</f>
      </c>
      <c r="V41" s="451"/>
      <c r="W41" s="451"/>
      <c r="X41" s="451"/>
      <c r="Y41" s="451"/>
      <c r="Z41" s="448" t="b">
        <f>Z35</f>
        <v>0</v>
      </c>
      <c r="AA41" s="423"/>
    </row>
    <row r="42" spans="1:27" s="522" customFormat="1" ht="12.75" customHeight="1">
      <c r="A42" s="4"/>
      <c r="B42" s="5"/>
      <c r="C42" s="29">
        <v>1</v>
      </c>
      <c r="D42" s="956">
        <f aca="true" t="shared" si="6" ref="D42:D51">IF(D18="","",D18)</f>
      </c>
      <c r="E42" s="957"/>
      <c r="F42" s="958"/>
      <c r="G42" s="348"/>
      <c r="H42" s="348"/>
      <c r="I42" s="348"/>
      <c r="J42" s="348"/>
      <c r="K42" s="348"/>
      <c r="L42" s="348"/>
      <c r="M42" s="348"/>
      <c r="N42" s="348"/>
      <c r="O42" s="323"/>
      <c r="P42" s="321"/>
      <c r="Q42" s="441"/>
      <c r="R42" s="423"/>
      <c r="S42" s="423"/>
      <c r="T42" s="423"/>
      <c r="U42" s="451">
        <f aca="true" t="shared" si="7" ref="U42:U51">IF(D42="","",INDEX(EUconst_BMlistCLstatus,MATCH(D42,EUconst_BMlistNames,0)))</f>
      </c>
      <c r="V42" s="451">
        <f aca="true" t="shared" si="8" ref="V42:V51">IF(D42="","",INDEX(EUconst_BMlistNumberOfBM,MATCH(D42,EUconst_BMlistNames,0)))</f>
      </c>
      <c r="W42" s="451">
        <f aca="true" t="shared" si="9" ref="W42:W51">IF(D42="","",INDEX(EUconst_BMlistBMvalues,MATCH(D42,EUconst_BMlistNames,0)))</f>
      </c>
      <c r="X42" s="451">
        <f aca="true" t="shared" si="10" ref="X42:X51">IF(D42="","",EUconst_EUA&amp;" / "&amp;Y42)</f>
      </c>
      <c r="Y42" s="451">
        <f aca="true" t="shared" si="11" ref="Y42:Y51">IF(D42="","",INDEX(EUconst_BMlistUnits,MATCH(D42,EUconst_BMlistNames,0)))</f>
      </c>
      <c r="Z42" s="448" t="b">
        <f aca="true" t="shared" si="12" ref="Z42:Z59">Z41</f>
        <v>0</v>
      </c>
      <c r="AA42" s="423"/>
    </row>
    <row r="43" spans="1:27" s="522" customFormat="1" ht="12.75" customHeight="1">
      <c r="A43" s="4"/>
      <c r="B43" s="5"/>
      <c r="C43" s="29">
        <v>2</v>
      </c>
      <c r="D43" s="931">
        <f t="shared" si="6"/>
      </c>
      <c r="E43" s="932"/>
      <c r="F43" s="933"/>
      <c r="G43" s="347"/>
      <c r="H43" s="347"/>
      <c r="I43" s="347"/>
      <c r="J43" s="347"/>
      <c r="K43" s="347"/>
      <c r="L43" s="347"/>
      <c r="M43" s="347"/>
      <c r="N43" s="347"/>
      <c r="O43" s="323"/>
      <c r="P43" s="321"/>
      <c r="Q43" s="441"/>
      <c r="R43" s="423"/>
      <c r="S43" s="423"/>
      <c r="T43" s="423"/>
      <c r="U43" s="451">
        <f t="shared" si="7"/>
      </c>
      <c r="V43" s="451">
        <f t="shared" si="8"/>
      </c>
      <c r="W43" s="451">
        <f t="shared" si="9"/>
      </c>
      <c r="X43" s="451">
        <f t="shared" si="10"/>
      </c>
      <c r="Y43" s="451">
        <f t="shared" si="11"/>
      </c>
      <c r="Z43" s="448" t="b">
        <f t="shared" si="12"/>
        <v>0</v>
      </c>
      <c r="AA43" s="423"/>
    </row>
    <row r="44" spans="1:27" s="522" customFormat="1" ht="12.75" customHeight="1">
      <c r="A44" s="4"/>
      <c r="B44" s="5"/>
      <c r="C44" s="29">
        <v>3</v>
      </c>
      <c r="D44" s="931">
        <f t="shared" si="6"/>
      </c>
      <c r="E44" s="932"/>
      <c r="F44" s="933"/>
      <c r="G44" s="347"/>
      <c r="H44" s="347"/>
      <c r="I44" s="347"/>
      <c r="J44" s="347"/>
      <c r="K44" s="347"/>
      <c r="L44" s="347"/>
      <c r="M44" s="347"/>
      <c r="N44" s="347"/>
      <c r="O44" s="323"/>
      <c r="P44" s="321"/>
      <c r="Q44" s="441"/>
      <c r="R44" s="423"/>
      <c r="S44" s="423"/>
      <c r="T44" s="423"/>
      <c r="U44" s="451">
        <f t="shared" si="7"/>
      </c>
      <c r="V44" s="451">
        <f t="shared" si="8"/>
      </c>
      <c r="W44" s="451">
        <f t="shared" si="9"/>
      </c>
      <c r="X44" s="451">
        <f t="shared" si="10"/>
      </c>
      <c r="Y44" s="451">
        <f t="shared" si="11"/>
      </c>
      <c r="Z44" s="448" t="b">
        <f t="shared" si="12"/>
        <v>0</v>
      </c>
      <c r="AA44" s="423"/>
    </row>
    <row r="45" spans="1:27" s="522" customFormat="1" ht="12.75" customHeight="1">
      <c r="A45" s="4"/>
      <c r="B45" s="5"/>
      <c r="C45" s="29">
        <v>4</v>
      </c>
      <c r="D45" s="931">
        <f t="shared" si="6"/>
      </c>
      <c r="E45" s="932"/>
      <c r="F45" s="933"/>
      <c r="G45" s="347"/>
      <c r="H45" s="347"/>
      <c r="I45" s="347"/>
      <c r="J45" s="347"/>
      <c r="K45" s="347"/>
      <c r="L45" s="347"/>
      <c r="M45" s="347"/>
      <c r="N45" s="347"/>
      <c r="O45" s="323"/>
      <c r="P45" s="321"/>
      <c r="Q45" s="441"/>
      <c r="R45" s="423"/>
      <c r="S45" s="423"/>
      <c r="T45" s="423"/>
      <c r="U45" s="451">
        <f t="shared" si="7"/>
      </c>
      <c r="V45" s="451">
        <f t="shared" si="8"/>
      </c>
      <c r="W45" s="451">
        <f t="shared" si="9"/>
      </c>
      <c r="X45" s="451">
        <f t="shared" si="10"/>
      </c>
      <c r="Y45" s="451">
        <f t="shared" si="11"/>
      </c>
      <c r="Z45" s="448" t="b">
        <f t="shared" si="12"/>
        <v>0</v>
      </c>
      <c r="AA45" s="423"/>
    </row>
    <row r="46" spans="1:27" s="522" customFormat="1" ht="12.75" customHeight="1">
      <c r="A46" s="4"/>
      <c r="B46" s="5"/>
      <c r="C46" s="29">
        <v>5</v>
      </c>
      <c r="D46" s="931">
        <f t="shared" si="6"/>
      </c>
      <c r="E46" s="932"/>
      <c r="F46" s="933"/>
      <c r="G46" s="347"/>
      <c r="H46" s="347"/>
      <c r="I46" s="347"/>
      <c r="J46" s="347"/>
      <c r="K46" s="347"/>
      <c r="L46" s="347"/>
      <c r="M46" s="347"/>
      <c r="N46" s="347"/>
      <c r="O46" s="323"/>
      <c r="P46" s="321"/>
      <c r="Q46" s="441"/>
      <c r="R46" s="423"/>
      <c r="S46" s="423"/>
      <c r="T46" s="423"/>
      <c r="U46" s="451">
        <f t="shared" si="7"/>
      </c>
      <c r="V46" s="451">
        <f t="shared" si="8"/>
      </c>
      <c r="W46" s="451">
        <f t="shared" si="9"/>
      </c>
      <c r="X46" s="451">
        <f t="shared" si="10"/>
      </c>
      <c r="Y46" s="451">
        <f t="shared" si="11"/>
      </c>
      <c r="Z46" s="448" t="b">
        <f t="shared" si="12"/>
        <v>0</v>
      </c>
      <c r="AA46" s="423"/>
    </row>
    <row r="47" spans="1:27" s="522" customFormat="1" ht="12.75" customHeight="1">
      <c r="A47" s="4"/>
      <c r="B47" s="5"/>
      <c r="C47" s="29">
        <v>6</v>
      </c>
      <c r="D47" s="931">
        <f t="shared" si="6"/>
      </c>
      <c r="E47" s="932"/>
      <c r="F47" s="933"/>
      <c r="G47" s="347"/>
      <c r="H47" s="347"/>
      <c r="I47" s="347"/>
      <c r="J47" s="347"/>
      <c r="K47" s="347"/>
      <c r="L47" s="347"/>
      <c r="M47" s="347"/>
      <c r="N47" s="347"/>
      <c r="O47" s="323"/>
      <c r="P47" s="9"/>
      <c r="Q47" s="441"/>
      <c r="R47" s="423"/>
      <c r="S47" s="423"/>
      <c r="T47" s="423"/>
      <c r="U47" s="451">
        <f t="shared" si="7"/>
      </c>
      <c r="V47" s="451">
        <f t="shared" si="8"/>
      </c>
      <c r="W47" s="451">
        <f t="shared" si="9"/>
      </c>
      <c r="X47" s="451">
        <f t="shared" si="10"/>
      </c>
      <c r="Y47" s="451">
        <f t="shared" si="11"/>
      </c>
      <c r="Z47" s="448" t="b">
        <f t="shared" si="12"/>
        <v>0</v>
      </c>
      <c r="AA47" s="423"/>
    </row>
    <row r="48" spans="1:27" s="522" customFormat="1" ht="12.75" customHeight="1">
      <c r="A48" s="4"/>
      <c r="B48" s="5"/>
      <c r="C48" s="29">
        <v>7</v>
      </c>
      <c r="D48" s="931">
        <f t="shared" si="6"/>
      </c>
      <c r="E48" s="932"/>
      <c r="F48" s="933"/>
      <c r="G48" s="347"/>
      <c r="H48" s="347"/>
      <c r="I48" s="347"/>
      <c r="J48" s="347"/>
      <c r="K48" s="347"/>
      <c r="L48" s="347"/>
      <c r="M48" s="347"/>
      <c r="N48" s="347"/>
      <c r="O48" s="323"/>
      <c r="P48" s="9"/>
      <c r="Q48" s="441"/>
      <c r="R48" s="423"/>
      <c r="S48" s="423"/>
      <c r="T48" s="423"/>
      <c r="U48" s="451">
        <f t="shared" si="7"/>
      </c>
      <c r="V48" s="451">
        <f t="shared" si="8"/>
      </c>
      <c r="W48" s="451">
        <f t="shared" si="9"/>
      </c>
      <c r="X48" s="451">
        <f t="shared" si="10"/>
      </c>
      <c r="Y48" s="451">
        <f t="shared" si="11"/>
      </c>
      <c r="Z48" s="448" t="b">
        <f t="shared" si="12"/>
        <v>0</v>
      </c>
      <c r="AA48" s="423"/>
    </row>
    <row r="49" spans="1:27" s="522" customFormat="1" ht="12.75" customHeight="1">
      <c r="A49" s="4"/>
      <c r="B49" s="5"/>
      <c r="C49" s="29">
        <v>8</v>
      </c>
      <c r="D49" s="931">
        <f t="shared" si="6"/>
      </c>
      <c r="E49" s="932"/>
      <c r="F49" s="933"/>
      <c r="G49" s="347"/>
      <c r="H49" s="347"/>
      <c r="I49" s="347"/>
      <c r="J49" s="347"/>
      <c r="K49" s="347"/>
      <c r="L49" s="347"/>
      <c r="M49" s="347"/>
      <c r="N49" s="347"/>
      <c r="O49" s="323"/>
      <c r="P49" s="9"/>
      <c r="Q49" s="441"/>
      <c r="R49" s="423"/>
      <c r="S49" s="423"/>
      <c r="T49" s="423"/>
      <c r="U49" s="451">
        <f t="shared" si="7"/>
      </c>
      <c r="V49" s="451">
        <f t="shared" si="8"/>
      </c>
      <c r="W49" s="451">
        <f t="shared" si="9"/>
      </c>
      <c r="X49" s="451">
        <f t="shared" si="10"/>
      </c>
      <c r="Y49" s="451">
        <f t="shared" si="11"/>
      </c>
      <c r="Z49" s="448" t="b">
        <f t="shared" si="12"/>
        <v>0</v>
      </c>
      <c r="AA49" s="423"/>
    </row>
    <row r="50" spans="1:27" s="522" customFormat="1" ht="12.75" customHeight="1">
      <c r="A50" s="4"/>
      <c r="B50" s="5"/>
      <c r="C50" s="29">
        <v>9</v>
      </c>
      <c r="D50" s="931">
        <f t="shared" si="6"/>
      </c>
      <c r="E50" s="932"/>
      <c r="F50" s="933"/>
      <c r="G50" s="347"/>
      <c r="H50" s="347"/>
      <c r="I50" s="347"/>
      <c r="J50" s="347"/>
      <c r="K50" s="347"/>
      <c r="L50" s="347"/>
      <c r="M50" s="347"/>
      <c r="N50" s="347"/>
      <c r="O50" s="323"/>
      <c r="P50" s="9"/>
      <c r="Q50" s="441"/>
      <c r="R50" s="423"/>
      <c r="S50" s="423"/>
      <c r="T50" s="423"/>
      <c r="U50" s="451">
        <f t="shared" si="7"/>
      </c>
      <c r="V50" s="451">
        <f t="shared" si="8"/>
      </c>
      <c r="W50" s="451">
        <f t="shared" si="9"/>
      </c>
      <c r="X50" s="451">
        <f t="shared" si="10"/>
      </c>
      <c r="Y50" s="451">
        <f t="shared" si="11"/>
      </c>
      <c r="Z50" s="448" t="b">
        <f t="shared" si="12"/>
        <v>0</v>
      </c>
      <c r="AA50" s="423"/>
    </row>
    <row r="51" spans="1:27" s="522" customFormat="1" ht="12.75" customHeight="1">
      <c r="A51" s="4"/>
      <c r="B51" s="5"/>
      <c r="C51" s="25">
        <v>10</v>
      </c>
      <c r="D51" s="962">
        <f t="shared" si="6"/>
      </c>
      <c r="E51" s="963"/>
      <c r="F51" s="964"/>
      <c r="G51" s="187"/>
      <c r="H51" s="187"/>
      <c r="I51" s="187"/>
      <c r="J51" s="187"/>
      <c r="K51" s="187"/>
      <c r="L51" s="187"/>
      <c r="M51" s="187"/>
      <c r="N51" s="187"/>
      <c r="O51" s="323"/>
      <c r="P51" s="9"/>
      <c r="Q51" s="441"/>
      <c r="R51" s="423"/>
      <c r="S51" s="423"/>
      <c r="T51" s="423"/>
      <c r="U51" s="451">
        <f t="shared" si="7"/>
      </c>
      <c r="V51" s="451">
        <f t="shared" si="8"/>
      </c>
      <c r="W51" s="451">
        <f t="shared" si="9"/>
      </c>
      <c r="X51" s="451">
        <f t="shared" si="10"/>
      </c>
      <c r="Y51" s="451">
        <f t="shared" si="11"/>
      </c>
      <c r="Z51" s="448" t="b">
        <f t="shared" si="12"/>
        <v>0</v>
      </c>
      <c r="AA51" s="423"/>
    </row>
    <row r="52" spans="1:27" s="522" customFormat="1" ht="38.25" customHeight="1">
      <c r="A52" s="4"/>
      <c r="B52" s="5"/>
      <c r="C52" s="29">
        <v>11</v>
      </c>
      <c r="D52" s="937" t="str">
        <f aca="true" t="shared" si="13" ref="D52:D57">INDEX(EUconst_FallBackListNames,C52-10)</f>
        <v>Sous-installation avec référentiel de chaleur, CL (risque de fuite de carbone)</v>
      </c>
      <c r="E52" s="938"/>
      <c r="F52" s="939"/>
      <c r="G52" s="348"/>
      <c r="H52" s="348"/>
      <c r="I52" s="348"/>
      <c r="J52" s="348"/>
      <c r="K52" s="348"/>
      <c r="L52" s="348"/>
      <c r="M52" s="348"/>
      <c r="N52" s="348"/>
      <c r="O52" s="323"/>
      <c r="P52" s="9"/>
      <c r="Q52" s="441"/>
      <c r="R52" s="423"/>
      <c r="S52" s="423"/>
      <c r="T52" s="423"/>
      <c r="U52" s="451" t="b">
        <v>1</v>
      </c>
      <c r="V52" s="451">
        <f>EUwideConstants!$C$304</f>
        <v>91</v>
      </c>
      <c r="W52" s="451">
        <f>EUwideConstants!$H$304</f>
        <v>62.3</v>
      </c>
      <c r="X52" s="451" t="str">
        <f aca="true" t="shared" si="14" ref="X52:X57">EUconst_EUA&amp;" / "&amp;Y52</f>
        <v>EUA / TJ</v>
      </c>
      <c r="Y52" s="451" t="str">
        <f>EUconst_TJ</f>
        <v>TJ</v>
      </c>
      <c r="Z52" s="448" t="b">
        <f t="shared" si="12"/>
        <v>0</v>
      </c>
      <c r="AA52" s="423"/>
    </row>
    <row r="53" spans="1:27" s="522" customFormat="1" ht="38.25" customHeight="1">
      <c r="A53" s="4"/>
      <c r="B53" s="5"/>
      <c r="C53" s="29">
        <v>12</v>
      </c>
      <c r="D53" s="940" t="str">
        <f t="shared" si="13"/>
        <v>Sous-installation avec référentiel de chaleur, non-CL (sans risque de fuite de carbone)</v>
      </c>
      <c r="E53" s="941"/>
      <c r="F53" s="942"/>
      <c r="G53" s="347"/>
      <c r="H53" s="347"/>
      <c r="I53" s="347"/>
      <c r="J53" s="347"/>
      <c r="K53" s="347"/>
      <c r="L53" s="347"/>
      <c r="M53" s="347"/>
      <c r="N53" s="347"/>
      <c r="O53" s="323"/>
      <c r="P53" s="9"/>
      <c r="Q53" s="441"/>
      <c r="R53" s="423"/>
      <c r="S53" s="423"/>
      <c r="T53" s="423"/>
      <c r="U53" s="451" t="b">
        <v>0</v>
      </c>
      <c r="V53" s="451">
        <f>EUwideConstants!$C$305</f>
        <v>92</v>
      </c>
      <c r="W53" s="451">
        <f>EUwideConstants!$H$305</f>
        <v>62.3</v>
      </c>
      <c r="X53" s="451" t="str">
        <f t="shared" si="14"/>
        <v>EUA / TJ</v>
      </c>
      <c r="Y53" s="451" t="str">
        <f>EUconst_TJ</f>
        <v>TJ</v>
      </c>
      <c r="Z53" s="448" t="b">
        <f t="shared" si="12"/>
        <v>0</v>
      </c>
      <c r="AA53" s="423"/>
    </row>
    <row r="54" spans="1:27" s="522" customFormat="1" ht="25.5" customHeight="1">
      <c r="A54" s="4"/>
      <c r="B54" s="5"/>
      <c r="C54" s="29">
        <v>13</v>
      </c>
      <c r="D54" s="940" t="str">
        <f t="shared" si="13"/>
        <v>Sous-installation avec référentiel de combustibles, CL</v>
      </c>
      <c r="E54" s="941"/>
      <c r="F54" s="942"/>
      <c r="G54" s="347"/>
      <c r="H54" s="347"/>
      <c r="I54" s="347"/>
      <c r="J54" s="347"/>
      <c r="K54" s="347"/>
      <c r="L54" s="347"/>
      <c r="M54" s="347"/>
      <c r="N54" s="347"/>
      <c r="O54" s="323"/>
      <c r="P54" s="9"/>
      <c r="Q54" s="441"/>
      <c r="R54" s="423"/>
      <c r="S54" s="423"/>
      <c r="T54" s="423"/>
      <c r="U54" s="451" t="b">
        <v>1</v>
      </c>
      <c r="V54" s="451">
        <f>EUwideConstants!$C$306</f>
        <v>93</v>
      </c>
      <c r="W54" s="451">
        <f>EUwideConstants!$H$306</f>
        <v>56.1</v>
      </c>
      <c r="X54" s="451" t="str">
        <f t="shared" si="14"/>
        <v>EUA / TJ</v>
      </c>
      <c r="Y54" s="451" t="str">
        <f>EUconst_TJ</f>
        <v>TJ</v>
      </c>
      <c r="Z54" s="448" t="b">
        <f t="shared" si="12"/>
        <v>0</v>
      </c>
      <c r="AA54" s="423"/>
    </row>
    <row r="55" spans="1:27" s="522" customFormat="1" ht="25.5" customHeight="1">
      <c r="A55" s="4"/>
      <c r="B55" s="5"/>
      <c r="C55" s="29">
        <v>14</v>
      </c>
      <c r="D55" s="940" t="str">
        <f t="shared" si="13"/>
        <v>Sous-installation avec référentiel de combustibles, non-CL</v>
      </c>
      <c r="E55" s="941"/>
      <c r="F55" s="942"/>
      <c r="G55" s="347"/>
      <c r="H55" s="347"/>
      <c r="I55" s="347"/>
      <c r="J55" s="347"/>
      <c r="K55" s="347"/>
      <c r="L55" s="347"/>
      <c r="M55" s="347"/>
      <c r="N55" s="347"/>
      <c r="O55" s="323"/>
      <c r="P55" s="9"/>
      <c r="Q55" s="441"/>
      <c r="R55" s="423"/>
      <c r="S55" s="423"/>
      <c r="T55" s="423"/>
      <c r="U55" s="451" t="b">
        <v>0</v>
      </c>
      <c r="V55" s="451">
        <f>EUwideConstants!$C$307</f>
        <v>94</v>
      </c>
      <c r="W55" s="451">
        <f>EUwideConstants!$H$307</f>
        <v>56.1</v>
      </c>
      <c r="X55" s="451" t="str">
        <f t="shared" si="14"/>
        <v>EUA / TJ</v>
      </c>
      <c r="Y55" s="451" t="str">
        <f>EUconst_TJ</f>
        <v>TJ</v>
      </c>
      <c r="Z55" s="448" t="b">
        <f t="shared" si="12"/>
        <v>0</v>
      </c>
      <c r="AA55" s="423"/>
    </row>
    <row r="56" spans="1:27" s="522" customFormat="1" ht="25.5" customHeight="1">
      <c r="A56" s="4"/>
      <c r="B56" s="5"/>
      <c r="C56" s="29">
        <v>15</v>
      </c>
      <c r="D56" s="940" t="str">
        <f t="shared" si="13"/>
        <v>Sous-installation avec émissions de procédé, CL</v>
      </c>
      <c r="E56" s="941"/>
      <c r="F56" s="942"/>
      <c r="G56" s="347"/>
      <c r="H56" s="347"/>
      <c r="I56" s="347"/>
      <c r="J56" s="347"/>
      <c r="K56" s="347"/>
      <c r="L56" s="347"/>
      <c r="M56" s="347"/>
      <c r="N56" s="347"/>
      <c r="O56" s="323"/>
      <c r="P56" s="9"/>
      <c r="Q56" s="441"/>
      <c r="R56" s="423"/>
      <c r="S56" s="423"/>
      <c r="T56" s="423"/>
      <c r="U56" s="451" t="b">
        <v>1</v>
      </c>
      <c r="V56" s="451">
        <f>EUwideConstants!$C$308</f>
        <v>95</v>
      </c>
      <c r="W56" s="451">
        <f>EUwideConstants!$H$308</f>
        <v>0.97</v>
      </c>
      <c r="X56" s="451" t="str">
        <f t="shared" si="14"/>
        <v>EUA / t CO2e</v>
      </c>
      <c r="Y56" s="451" t="str">
        <f>EUconst_tCO2e</f>
        <v>t CO2e</v>
      </c>
      <c r="Z56" s="448" t="b">
        <f t="shared" si="12"/>
        <v>0</v>
      </c>
      <c r="AA56" s="423"/>
    </row>
    <row r="57" spans="1:27" s="522" customFormat="1" ht="25.5" customHeight="1">
      <c r="A57" s="4"/>
      <c r="B57" s="5"/>
      <c r="C57" s="29">
        <v>16</v>
      </c>
      <c r="D57" s="934" t="str">
        <f t="shared" si="13"/>
        <v>Sous-installation avec émissions de procédé, non-CL</v>
      </c>
      <c r="E57" s="935"/>
      <c r="F57" s="936"/>
      <c r="G57" s="373"/>
      <c r="H57" s="373"/>
      <c r="I57" s="373"/>
      <c r="J57" s="373"/>
      <c r="K57" s="373"/>
      <c r="L57" s="373"/>
      <c r="M57" s="373"/>
      <c r="N57" s="373"/>
      <c r="O57" s="323"/>
      <c r="P57" s="9"/>
      <c r="Q57" s="441"/>
      <c r="R57" s="423"/>
      <c r="S57" s="423"/>
      <c r="T57" s="423"/>
      <c r="U57" s="451" t="b">
        <v>0</v>
      </c>
      <c r="V57" s="451">
        <f>EUwideConstants!$C$309</f>
        <v>96</v>
      </c>
      <c r="W57" s="451">
        <f>EUwideConstants!$H$309</f>
        <v>0.97</v>
      </c>
      <c r="X57" s="451" t="str">
        <f t="shared" si="14"/>
        <v>EUA / t CO2e</v>
      </c>
      <c r="Y57" s="451" t="str">
        <f>EUconst_tCO2e</f>
        <v>t CO2e</v>
      </c>
      <c r="Z57" s="448" t="b">
        <f t="shared" si="12"/>
        <v>0</v>
      </c>
      <c r="AA57" s="423"/>
    </row>
    <row r="58" spans="1:27" s="522" customFormat="1" ht="12.75" customHeight="1" thickBot="1">
      <c r="A58" s="4"/>
      <c r="B58" s="5"/>
      <c r="C58" s="413">
        <v>17</v>
      </c>
      <c r="D58" s="943" t="str">
        <f>EUconst_PrivateHouseholds</f>
        <v>Ménages privés</v>
      </c>
      <c r="E58" s="944"/>
      <c r="F58" s="945"/>
      <c r="G58" s="415"/>
      <c r="H58" s="415"/>
      <c r="I58" s="415"/>
      <c r="J58" s="415"/>
      <c r="K58" s="415"/>
      <c r="L58" s="415"/>
      <c r="M58" s="415"/>
      <c r="N58" s="415"/>
      <c r="O58" s="323"/>
      <c r="P58" s="9"/>
      <c r="Q58" s="441"/>
      <c r="R58" s="423"/>
      <c r="S58" s="423"/>
      <c r="T58" s="423"/>
      <c r="U58" s="451">
        <f>""</f>
      </c>
      <c r="V58" s="451"/>
      <c r="W58" s="451"/>
      <c r="X58" s="451"/>
      <c r="Y58" s="451"/>
      <c r="Z58" s="448" t="b">
        <f t="shared" si="12"/>
        <v>0</v>
      </c>
      <c r="AA58" s="423"/>
    </row>
    <row r="59" spans="1:27" s="522" customFormat="1" ht="12.75" customHeight="1">
      <c r="A59" s="4"/>
      <c r="B59" s="5"/>
      <c r="C59" s="18"/>
      <c r="D59" s="949" t="str">
        <f>EUconst_TotFreeAlloc</f>
        <v>Allocation totale finale à titre gratuit</v>
      </c>
      <c r="E59" s="950"/>
      <c r="F59" s="951"/>
      <c r="G59" s="212">
        <f aca="true" t="shared" si="15" ref="G59:N59">IF(COUNT(G41:G58)&gt;0,SUM(G41:G58),"")</f>
      </c>
      <c r="H59" s="212">
        <f t="shared" si="15"/>
      </c>
      <c r="I59" s="212">
        <f t="shared" si="15"/>
      </c>
      <c r="J59" s="212">
        <f t="shared" si="15"/>
      </c>
      <c r="K59" s="212">
        <f t="shared" si="15"/>
      </c>
      <c r="L59" s="212">
        <f t="shared" si="15"/>
      </c>
      <c r="M59" s="212">
        <f t="shared" si="15"/>
      </c>
      <c r="N59" s="212">
        <f t="shared" si="15"/>
      </c>
      <c r="O59" s="323"/>
      <c r="P59" s="9"/>
      <c r="Q59" s="441"/>
      <c r="R59" s="441"/>
      <c r="S59" s="441"/>
      <c r="T59" s="441"/>
      <c r="U59" s="441"/>
      <c r="V59" s="441"/>
      <c r="W59" s="441"/>
      <c r="X59" s="441"/>
      <c r="Y59" s="423"/>
      <c r="Z59" s="448" t="b">
        <f t="shared" si="12"/>
        <v>0</v>
      </c>
      <c r="AA59" s="423"/>
    </row>
    <row r="60" spans="1:27" s="522" customFormat="1" ht="12.75" customHeight="1">
      <c r="A60" s="4"/>
      <c r="B60" s="5"/>
      <c r="C60" s="5"/>
      <c r="D60" s="5"/>
      <c r="E60" s="5"/>
      <c r="F60" s="5"/>
      <c r="G60" s="5"/>
      <c r="H60" s="5"/>
      <c r="I60" s="5"/>
      <c r="J60" s="5"/>
      <c r="K60" s="5"/>
      <c r="L60" s="5"/>
      <c r="M60" s="9"/>
      <c r="N60" s="9"/>
      <c r="O60" s="323"/>
      <c r="P60" s="9"/>
      <c r="Q60" s="441"/>
      <c r="R60" s="441"/>
      <c r="S60" s="441"/>
      <c r="T60" s="441"/>
      <c r="U60" s="441"/>
      <c r="V60" s="441"/>
      <c r="W60" s="441"/>
      <c r="X60" s="441"/>
      <c r="Y60" s="441"/>
      <c r="Z60" s="441"/>
      <c r="AA60" s="423"/>
    </row>
    <row r="61" spans="1:27" s="522" customFormat="1" ht="12.75" customHeight="1">
      <c r="A61" s="4"/>
      <c r="B61" s="5"/>
      <c r="C61" s="5"/>
      <c r="D61" s="193" t="s">
        <v>459</v>
      </c>
      <c r="E61" s="743" t="str">
        <f>Translations!$B$1555</f>
        <v>Capacité installée initiale et niveau d’activité annuel initial</v>
      </c>
      <c r="F61" s="742"/>
      <c r="G61" s="742"/>
      <c r="H61" s="742"/>
      <c r="I61" s="742"/>
      <c r="J61" s="742"/>
      <c r="K61" s="742"/>
      <c r="L61" s="742"/>
      <c r="M61" s="742"/>
      <c r="N61" s="742"/>
      <c r="O61" s="317"/>
      <c r="P61" s="378"/>
      <c r="Q61" s="441"/>
      <c r="R61" s="423"/>
      <c r="S61" s="423"/>
      <c r="T61" s="423"/>
      <c r="U61" s="423"/>
      <c r="V61" s="423"/>
      <c r="W61" s="423"/>
      <c r="X61" s="423"/>
      <c r="Y61" s="423"/>
      <c r="Z61" s="423"/>
      <c r="AA61" s="423"/>
    </row>
    <row r="62" spans="1:27" s="522" customFormat="1" ht="12.75" customHeight="1">
      <c r="A62" s="4"/>
      <c r="B62" s="5"/>
      <c r="C62" s="5"/>
      <c r="D62" s="193"/>
      <c r="E62" s="796" t="str">
        <f>Translations!$B$1556</f>
        <v>Veuillez indiquer ici les valeurs relatives à la capacité et au niveau d’activité qui ont servi à déterminer l’allocation finale la plus récente.</v>
      </c>
      <c r="F62" s="721"/>
      <c r="G62" s="721"/>
      <c r="H62" s="721"/>
      <c r="I62" s="721"/>
      <c r="J62" s="721"/>
      <c r="K62" s="721"/>
      <c r="L62" s="721"/>
      <c r="M62" s="721"/>
      <c r="N62" s="721"/>
      <c r="O62" s="317"/>
      <c r="P62" s="323"/>
      <c r="Q62" s="441"/>
      <c r="R62" s="423"/>
      <c r="S62" s="423"/>
      <c r="T62" s="423"/>
      <c r="U62" s="423"/>
      <c r="V62" s="423"/>
      <c r="W62" s="423"/>
      <c r="X62" s="423"/>
      <c r="Y62" s="423"/>
      <c r="Z62" s="423"/>
      <c r="AA62" s="423"/>
    </row>
    <row r="63" spans="1:27" s="522" customFormat="1" ht="25.5" customHeight="1">
      <c r="A63" s="4"/>
      <c r="B63" s="5"/>
      <c r="C63" s="5"/>
      <c r="D63" s="193"/>
      <c r="E63" s="796" t="str">
        <f>Translations!$B$1557</f>
        <v>Ces valeurs doivent correspondre à la capacité installée initiale et au niveau d’activité annuel initial lors de la saisie des informations. Elles serviront de base pour toute future modification de l’allocation conformément aux articles 19 à 23 des CIM.</v>
      </c>
      <c r="F63" s="721"/>
      <c r="G63" s="721"/>
      <c r="H63" s="721"/>
      <c r="I63" s="721"/>
      <c r="J63" s="721"/>
      <c r="K63" s="721"/>
      <c r="L63" s="721"/>
      <c r="M63" s="721"/>
      <c r="N63" s="721"/>
      <c r="O63" s="317"/>
      <c r="P63" s="323"/>
      <c r="Q63" s="441"/>
      <c r="R63" s="423"/>
      <c r="S63" s="423"/>
      <c r="T63" s="423"/>
      <c r="U63" s="423"/>
      <c r="V63" s="423"/>
      <c r="W63" s="423"/>
      <c r="X63" s="423"/>
      <c r="Y63" s="423"/>
      <c r="Z63" s="423"/>
      <c r="AA63" s="423"/>
    </row>
    <row r="64" spans="1:27" s="526" customFormat="1" ht="38.25" customHeight="1" thickBot="1">
      <c r="A64" s="396"/>
      <c r="B64" s="372"/>
      <c r="C64" s="397"/>
      <c r="D64" s="965" t="str">
        <f>Translations!$B$440</f>
        <v>Sous-installation</v>
      </c>
      <c r="E64" s="966"/>
      <c r="F64" s="966"/>
      <c r="G64" s="967"/>
      <c r="H64" s="66" t="str">
        <f>EUconst_Unit</f>
        <v>Unité</v>
      </c>
      <c r="I64" s="66" t="str">
        <f>Translations!$B$1030</f>
        <v>Capacité installée initiale</v>
      </c>
      <c r="J64" s="398" t="str">
        <f>Translations!$B$1187</f>
        <v>Niveau d'activité annuel initial </v>
      </c>
      <c r="K64" s="390" t="str">
        <f>Translations!$B$1103</f>
        <v>message d'erreur</v>
      </c>
      <c r="L64" s="323"/>
      <c r="M64" s="323"/>
      <c r="N64" s="323"/>
      <c r="O64" s="399"/>
      <c r="P64" s="400"/>
      <c r="Q64" s="455"/>
      <c r="R64" s="455"/>
      <c r="S64" s="455"/>
      <c r="T64" s="455"/>
      <c r="U64" s="455"/>
      <c r="V64" s="449" t="s">
        <v>548</v>
      </c>
      <c r="W64" s="455"/>
      <c r="X64" s="455"/>
      <c r="Y64" s="455"/>
      <c r="Z64" s="455"/>
      <c r="AA64" s="456"/>
    </row>
    <row r="65" spans="1:27" s="522" customFormat="1" ht="12.75" customHeight="1">
      <c r="A65" s="4"/>
      <c r="B65" s="5"/>
      <c r="C65" s="29">
        <v>1</v>
      </c>
      <c r="D65" s="959">
        <f aca="true" t="shared" si="16" ref="D65:D74">IF(D18="","",D18)</f>
      </c>
      <c r="E65" s="960"/>
      <c r="F65" s="960"/>
      <c r="G65" s="961"/>
      <c r="H65" s="65">
        <f>IF(D65&lt;&gt;"",INDEX(EUconst_BMlistUnits,MATCH($D65,EUconst_BMlistNames,0))&amp;" / "&amp;EUconst_Year,"")</f>
      </c>
      <c r="I65" s="530"/>
      <c r="J65" s="530"/>
      <c r="K65" s="401">
        <f aca="true" t="shared" si="17" ref="K65:K74">IF(D65="","",IF(COUNT(I65:J65)&lt;2,EUconst_Incomplete,""))</f>
      </c>
      <c r="L65" s="323"/>
      <c r="M65" s="323"/>
      <c r="N65" s="323"/>
      <c r="O65" s="323"/>
      <c r="P65" s="321"/>
      <c r="Q65" s="451" t="str">
        <f aca="true" t="shared" si="18" ref="Q65:Q80">EUconst_CNTR_CAPINI&amp;$V65&amp;"_"&amp;$D65</f>
        <v>CAPINI_1_</v>
      </c>
      <c r="R65" s="451" t="str">
        <f aca="true" t="shared" si="19" ref="R65:R80">EUconst_CNTR_HAL&amp;$V65&amp;"_"&amp;$D65</f>
        <v>HAL_1_</v>
      </c>
      <c r="S65" s="451" t="str">
        <f aca="true" t="shared" si="20" ref="S65:S74">EUconst_CNTR_HAL&amp;$V65&amp;"_"&amp;$C65</f>
        <v>HAL_1_1</v>
      </c>
      <c r="T65" s="441"/>
      <c r="U65" s="441"/>
      <c r="V65" s="452">
        <f>V34</f>
        <v>1</v>
      </c>
      <c r="W65" s="441"/>
      <c r="X65" s="441"/>
      <c r="Y65" s="451">
        <f>M11</f>
      </c>
      <c r="Z65" s="448" t="b">
        <f aca="true" t="shared" si="21" ref="Z65:Z74">AND(Y65&lt;&gt;"",D18="")</f>
        <v>0</v>
      </c>
      <c r="AA65" s="423"/>
    </row>
    <row r="66" spans="1:27" s="522" customFormat="1" ht="12.75" customHeight="1">
      <c r="A66" s="4"/>
      <c r="B66" s="5"/>
      <c r="C66" s="29">
        <v>2</v>
      </c>
      <c r="D66" s="931">
        <f t="shared" si="16"/>
      </c>
      <c r="E66" s="932"/>
      <c r="F66" s="932"/>
      <c r="G66" s="933"/>
      <c r="H66" s="64">
        <f aca="true" t="shared" si="22" ref="H66:H74">IF(D66&lt;&gt;"",INDEX(EUconst_BMlistUnits,MATCH($D66,EUconst_BMlistNames,0))&amp;" / "&amp;EUconst_Year,"")</f>
      </c>
      <c r="I66" s="531"/>
      <c r="J66" s="531"/>
      <c r="K66" s="402">
        <f t="shared" si="17"/>
      </c>
      <c r="L66" s="323"/>
      <c r="M66" s="323"/>
      <c r="N66" s="323"/>
      <c r="O66" s="323"/>
      <c r="P66" s="321"/>
      <c r="Q66" s="451" t="str">
        <f t="shared" si="18"/>
        <v>CAPINI_1_</v>
      </c>
      <c r="R66" s="451" t="str">
        <f t="shared" si="19"/>
        <v>HAL_1_</v>
      </c>
      <c r="S66" s="451" t="str">
        <f t="shared" si="20"/>
        <v>HAL_1_2</v>
      </c>
      <c r="T66" s="441"/>
      <c r="U66" s="441"/>
      <c r="V66" s="453">
        <f aca="true" t="shared" si="23" ref="V66:V80">V65</f>
        <v>1</v>
      </c>
      <c r="W66" s="441"/>
      <c r="X66" s="441"/>
      <c r="Y66" s="451">
        <f>Y65</f>
      </c>
      <c r="Z66" s="448" t="b">
        <f t="shared" si="21"/>
        <v>0</v>
      </c>
      <c r="AA66" s="423"/>
    </row>
    <row r="67" spans="1:27" s="522" customFormat="1" ht="12.75" customHeight="1">
      <c r="A67" s="4"/>
      <c r="B67" s="5"/>
      <c r="C67" s="29">
        <v>3</v>
      </c>
      <c r="D67" s="931">
        <f t="shared" si="16"/>
      </c>
      <c r="E67" s="932"/>
      <c r="F67" s="932"/>
      <c r="G67" s="933"/>
      <c r="H67" s="64">
        <f t="shared" si="22"/>
      </c>
      <c r="I67" s="531"/>
      <c r="J67" s="531"/>
      <c r="K67" s="402">
        <f t="shared" si="17"/>
      </c>
      <c r="L67" s="323"/>
      <c r="M67" s="323"/>
      <c r="N67" s="323"/>
      <c r="O67" s="323"/>
      <c r="P67" s="321"/>
      <c r="Q67" s="451" t="str">
        <f t="shared" si="18"/>
        <v>CAPINI_1_</v>
      </c>
      <c r="R67" s="451" t="str">
        <f t="shared" si="19"/>
        <v>HAL_1_</v>
      </c>
      <c r="S67" s="451" t="str">
        <f t="shared" si="20"/>
        <v>HAL_1_3</v>
      </c>
      <c r="T67" s="441"/>
      <c r="U67" s="441"/>
      <c r="V67" s="453">
        <f t="shared" si="23"/>
        <v>1</v>
      </c>
      <c r="W67" s="441"/>
      <c r="X67" s="441"/>
      <c r="Y67" s="451">
        <f aca="true" t="shared" si="24" ref="Y67:Y80">Y66</f>
      </c>
      <c r="Z67" s="448" t="b">
        <f t="shared" si="21"/>
        <v>0</v>
      </c>
      <c r="AA67" s="423"/>
    </row>
    <row r="68" spans="1:27" s="522" customFormat="1" ht="12.75" customHeight="1">
      <c r="A68" s="4"/>
      <c r="B68" s="5"/>
      <c r="C68" s="29">
        <v>4</v>
      </c>
      <c r="D68" s="931">
        <f t="shared" si="16"/>
      </c>
      <c r="E68" s="932"/>
      <c r="F68" s="932"/>
      <c r="G68" s="933"/>
      <c r="H68" s="64">
        <f t="shared" si="22"/>
      </c>
      <c r="I68" s="531"/>
      <c r="J68" s="531"/>
      <c r="K68" s="402">
        <f t="shared" si="17"/>
      </c>
      <c r="L68" s="323"/>
      <c r="M68" s="323"/>
      <c r="N68" s="323"/>
      <c r="O68" s="323"/>
      <c r="P68" s="321"/>
      <c r="Q68" s="451" t="str">
        <f t="shared" si="18"/>
        <v>CAPINI_1_</v>
      </c>
      <c r="R68" s="451" t="str">
        <f t="shared" si="19"/>
        <v>HAL_1_</v>
      </c>
      <c r="S68" s="451" t="str">
        <f t="shared" si="20"/>
        <v>HAL_1_4</v>
      </c>
      <c r="T68" s="441"/>
      <c r="U68" s="441"/>
      <c r="V68" s="453">
        <f t="shared" si="23"/>
        <v>1</v>
      </c>
      <c r="W68" s="441"/>
      <c r="X68" s="441"/>
      <c r="Y68" s="451">
        <f t="shared" si="24"/>
      </c>
      <c r="Z68" s="448" t="b">
        <f t="shared" si="21"/>
        <v>0</v>
      </c>
      <c r="AA68" s="423"/>
    </row>
    <row r="69" spans="1:27" s="522" customFormat="1" ht="12.75" customHeight="1">
      <c r="A69" s="4"/>
      <c r="B69" s="5"/>
      <c r="C69" s="29">
        <v>5</v>
      </c>
      <c r="D69" s="931">
        <f t="shared" si="16"/>
      </c>
      <c r="E69" s="932"/>
      <c r="F69" s="932"/>
      <c r="G69" s="933"/>
      <c r="H69" s="64">
        <f t="shared" si="22"/>
      </c>
      <c r="I69" s="531"/>
      <c r="J69" s="531"/>
      <c r="K69" s="402">
        <f t="shared" si="17"/>
      </c>
      <c r="L69" s="323"/>
      <c r="M69" s="323"/>
      <c r="N69" s="378"/>
      <c r="O69" s="323"/>
      <c r="P69" s="321"/>
      <c r="Q69" s="451" t="str">
        <f t="shared" si="18"/>
        <v>CAPINI_1_</v>
      </c>
      <c r="R69" s="451" t="str">
        <f t="shared" si="19"/>
        <v>HAL_1_</v>
      </c>
      <c r="S69" s="451" t="str">
        <f t="shared" si="20"/>
        <v>HAL_1_5</v>
      </c>
      <c r="T69" s="441"/>
      <c r="U69" s="441"/>
      <c r="V69" s="453">
        <f t="shared" si="23"/>
        <v>1</v>
      </c>
      <c r="W69" s="441"/>
      <c r="X69" s="441"/>
      <c r="Y69" s="451">
        <f t="shared" si="24"/>
      </c>
      <c r="Z69" s="448" t="b">
        <f t="shared" si="21"/>
        <v>0</v>
      </c>
      <c r="AA69" s="423"/>
    </row>
    <row r="70" spans="1:27" s="522" customFormat="1" ht="12.75" customHeight="1">
      <c r="A70" s="4"/>
      <c r="B70" s="5"/>
      <c r="C70" s="29">
        <v>6</v>
      </c>
      <c r="D70" s="931">
        <f t="shared" si="16"/>
      </c>
      <c r="E70" s="932"/>
      <c r="F70" s="932"/>
      <c r="G70" s="933"/>
      <c r="H70" s="64">
        <f t="shared" si="22"/>
      </c>
      <c r="I70" s="531"/>
      <c r="J70" s="531"/>
      <c r="K70" s="402">
        <f t="shared" si="17"/>
      </c>
      <c r="L70" s="323"/>
      <c r="M70" s="323"/>
      <c r="N70" s="323"/>
      <c r="O70" s="323"/>
      <c r="P70" s="9"/>
      <c r="Q70" s="451" t="str">
        <f t="shared" si="18"/>
        <v>CAPINI_1_</v>
      </c>
      <c r="R70" s="451" t="str">
        <f t="shared" si="19"/>
        <v>HAL_1_</v>
      </c>
      <c r="S70" s="451" t="str">
        <f t="shared" si="20"/>
        <v>HAL_1_6</v>
      </c>
      <c r="T70" s="441"/>
      <c r="U70" s="441"/>
      <c r="V70" s="453">
        <f t="shared" si="23"/>
        <v>1</v>
      </c>
      <c r="W70" s="441"/>
      <c r="X70" s="441"/>
      <c r="Y70" s="451">
        <f t="shared" si="24"/>
      </c>
      <c r="Z70" s="448" t="b">
        <f t="shared" si="21"/>
        <v>0</v>
      </c>
      <c r="AA70" s="423"/>
    </row>
    <row r="71" spans="1:27" s="522" customFormat="1" ht="12.75" customHeight="1">
      <c r="A71" s="4"/>
      <c r="B71" s="5"/>
      <c r="C71" s="29">
        <v>7</v>
      </c>
      <c r="D71" s="931">
        <f t="shared" si="16"/>
      </c>
      <c r="E71" s="932"/>
      <c r="F71" s="932"/>
      <c r="G71" s="933"/>
      <c r="H71" s="64">
        <f t="shared" si="22"/>
      </c>
      <c r="I71" s="531"/>
      <c r="J71" s="531"/>
      <c r="K71" s="402">
        <f t="shared" si="17"/>
      </c>
      <c r="L71" s="323"/>
      <c r="M71" s="323"/>
      <c r="N71" s="323"/>
      <c r="O71" s="323"/>
      <c r="P71" s="9"/>
      <c r="Q71" s="451" t="str">
        <f t="shared" si="18"/>
        <v>CAPINI_1_</v>
      </c>
      <c r="R71" s="451" t="str">
        <f t="shared" si="19"/>
        <v>HAL_1_</v>
      </c>
      <c r="S71" s="451" t="str">
        <f t="shared" si="20"/>
        <v>HAL_1_7</v>
      </c>
      <c r="T71" s="441"/>
      <c r="U71" s="441"/>
      <c r="V71" s="453">
        <f t="shared" si="23"/>
        <v>1</v>
      </c>
      <c r="W71" s="441"/>
      <c r="X71" s="441"/>
      <c r="Y71" s="451">
        <f t="shared" si="24"/>
      </c>
      <c r="Z71" s="448" t="b">
        <f t="shared" si="21"/>
        <v>0</v>
      </c>
      <c r="AA71" s="423"/>
    </row>
    <row r="72" spans="1:27" s="522" customFormat="1" ht="12.75" customHeight="1">
      <c r="A72" s="4"/>
      <c r="B72" s="5"/>
      <c r="C72" s="29">
        <v>8</v>
      </c>
      <c r="D72" s="931">
        <f t="shared" si="16"/>
      </c>
      <c r="E72" s="932"/>
      <c r="F72" s="932"/>
      <c r="G72" s="933"/>
      <c r="H72" s="64">
        <f t="shared" si="22"/>
      </c>
      <c r="I72" s="531"/>
      <c r="J72" s="531"/>
      <c r="K72" s="402">
        <f t="shared" si="17"/>
      </c>
      <c r="L72" s="323"/>
      <c r="M72" s="323"/>
      <c r="N72" s="323"/>
      <c r="O72" s="323"/>
      <c r="P72" s="9"/>
      <c r="Q72" s="451" t="str">
        <f t="shared" si="18"/>
        <v>CAPINI_1_</v>
      </c>
      <c r="R72" s="451" t="str">
        <f t="shared" si="19"/>
        <v>HAL_1_</v>
      </c>
      <c r="S72" s="451" t="str">
        <f t="shared" si="20"/>
        <v>HAL_1_8</v>
      </c>
      <c r="T72" s="441"/>
      <c r="U72" s="441"/>
      <c r="V72" s="453">
        <f t="shared" si="23"/>
        <v>1</v>
      </c>
      <c r="W72" s="441"/>
      <c r="X72" s="441"/>
      <c r="Y72" s="451">
        <f t="shared" si="24"/>
      </c>
      <c r="Z72" s="448" t="b">
        <f t="shared" si="21"/>
        <v>0</v>
      </c>
      <c r="AA72" s="423"/>
    </row>
    <row r="73" spans="1:27" s="522" customFormat="1" ht="12.75" customHeight="1">
      <c r="A73" s="4"/>
      <c r="B73" s="5"/>
      <c r="C73" s="29">
        <v>9</v>
      </c>
      <c r="D73" s="931">
        <f t="shared" si="16"/>
      </c>
      <c r="E73" s="932"/>
      <c r="F73" s="932"/>
      <c r="G73" s="933"/>
      <c r="H73" s="64">
        <f t="shared" si="22"/>
      </c>
      <c r="I73" s="531"/>
      <c r="J73" s="531"/>
      <c r="K73" s="402">
        <f t="shared" si="17"/>
      </c>
      <c r="L73" s="323"/>
      <c r="M73" s="323"/>
      <c r="N73" s="323"/>
      <c r="O73" s="323"/>
      <c r="P73" s="9"/>
      <c r="Q73" s="451" t="str">
        <f t="shared" si="18"/>
        <v>CAPINI_1_</v>
      </c>
      <c r="R73" s="451" t="str">
        <f t="shared" si="19"/>
        <v>HAL_1_</v>
      </c>
      <c r="S73" s="451" t="str">
        <f t="shared" si="20"/>
        <v>HAL_1_9</v>
      </c>
      <c r="T73" s="441"/>
      <c r="U73" s="441"/>
      <c r="V73" s="453">
        <f t="shared" si="23"/>
        <v>1</v>
      </c>
      <c r="W73" s="441"/>
      <c r="X73" s="441"/>
      <c r="Y73" s="451">
        <f t="shared" si="24"/>
      </c>
      <c r="Z73" s="448" t="b">
        <f t="shared" si="21"/>
        <v>0</v>
      </c>
      <c r="AA73" s="423"/>
    </row>
    <row r="74" spans="1:27" s="522" customFormat="1" ht="12.75" customHeight="1">
      <c r="A74" s="4"/>
      <c r="B74" s="5"/>
      <c r="C74" s="25">
        <v>10</v>
      </c>
      <c r="D74" s="962">
        <f t="shared" si="16"/>
      </c>
      <c r="E74" s="963"/>
      <c r="F74" s="963"/>
      <c r="G74" s="964"/>
      <c r="H74" s="63">
        <f t="shared" si="22"/>
      </c>
      <c r="I74" s="532"/>
      <c r="J74" s="532"/>
      <c r="K74" s="403">
        <f t="shared" si="17"/>
      </c>
      <c r="L74" s="323"/>
      <c r="M74" s="323"/>
      <c r="N74" s="323"/>
      <c r="O74" s="323"/>
      <c r="P74" s="9"/>
      <c r="Q74" s="451" t="str">
        <f t="shared" si="18"/>
        <v>CAPINI_1_</v>
      </c>
      <c r="R74" s="451" t="str">
        <f t="shared" si="19"/>
        <v>HAL_1_</v>
      </c>
      <c r="S74" s="451" t="str">
        <f t="shared" si="20"/>
        <v>HAL_1_10</v>
      </c>
      <c r="T74" s="441"/>
      <c r="U74" s="441"/>
      <c r="V74" s="453">
        <f t="shared" si="23"/>
        <v>1</v>
      </c>
      <c r="W74" s="441"/>
      <c r="X74" s="441"/>
      <c r="Y74" s="451">
        <f t="shared" si="24"/>
      </c>
      <c r="Z74" s="448" t="b">
        <f t="shared" si="21"/>
        <v>0</v>
      </c>
      <c r="AA74" s="423"/>
    </row>
    <row r="75" spans="1:27" s="522" customFormat="1" ht="25.5" customHeight="1">
      <c r="A75" s="4"/>
      <c r="B75" s="5"/>
      <c r="C75" s="29">
        <v>11</v>
      </c>
      <c r="D75" s="937" t="str">
        <f aca="true" t="shared" si="25" ref="D75:D80">INDEX(EUconst_FallBackListNames,C75-10)</f>
        <v>Sous-installation avec référentiel de chaleur, CL (risque de fuite de carbone)</v>
      </c>
      <c r="E75" s="938"/>
      <c r="F75" s="938"/>
      <c r="G75" s="939"/>
      <c r="H75" s="678" t="str">
        <f aca="true" t="shared" si="26" ref="H75:H80">IF(D75&lt;&gt;"",INDEX(EUconst_FallBackListUnits,MATCH($D75,EUconst_FallBackListNames,0))&amp;" / "&amp;EUconst_Year,"")</f>
        <v>TJ / année</v>
      </c>
      <c r="I75" s="535"/>
      <c r="J75" s="530"/>
      <c r="K75" s="404">
        <f aca="true" t="shared" si="27" ref="K75:K80">IF(Y75="","",IF(AND(COUNT(G52:N52)&gt;0,COUNT(I75:J75)&lt;2),EUconst_Incomplete,""))</f>
      </c>
      <c r="L75" s="323"/>
      <c r="M75" s="323"/>
      <c r="N75" s="323"/>
      <c r="O75" s="323"/>
      <c r="P75" s="9"/>
      <c r="Q75" s="451" t="str">
        <f t="shared" si="18"/>
        <v>CAPINI_1_Sous-installation avec référentiel de chaleur, CL (risque de fuite de carbone)</v>
      </c>
      <c r="R75" s="451" t="str">
        <f t="shared" si="19"/>
        <v>HAL_1_Sous-installation avec référentiel de chaleur, CL (risque de fuite de carbone)</v>
      </c>
      <c r="S75" s="441"/>
      <c r="T75" s="441"/>
      <c r="U75" s="441"/>
      <c r="V75" s="453">
        <f t="shared" si="23"/>
        <v>1</v>
      </c>
      <c r="W75" s="441"/>
      <c r="X75" s="441"/>
      <c r="Y75" s="451">
        <f t="shared" si="24"/>
      </c>
      <c r="Z75" s="448" t="b">
        <f aca="true" t="shared" si="28" ref="Z75:Z80">AND(Y75&lt;&gt;"",COUNT(G28:N28)=0)</f>
        <v>0</v>
      </c>
      <c r="AA75" s="423"/>
    </row>
    <row r="76" spans="1:27" s="522" customFormat="1" ht="25.5" customHeight="1">
      <c r="A76" s="4"/>
      <c r="B76" s="5"/>
      <c r="C76" s="29">
        <v>12</v>
      </c>
      <c r="D76" s="940" t="str">
        <f t="shared" si="25"/>
        <v>Sous-installation avec référentiel de chaleur, non-CL (sans risque de fuite de carbone)</v>
      </c>
      <c r="E76" s="941"/>
      <c r="F76" s="941"/>
      <c r="G76" s="942"/>
      <c r="H76" s="679" t="str">
        <f t="shared" si="26"/>
        <v>TJ / année</v>
      </c>
      <c r="I76" s="536"/>
      <c r="J76" s="531"/>
      <c r="K76" s="402">
        <f t="shared" si="27"/>
      </c>
      <c r="L76" s="323"/>
      <c r="M76" s="323"/>
      <c r="N76" s="323"/>
      <c r="O76" s="323"/>
      <c r="P76" s="9"/>
      <c r="Q76" s="451" t="str">
        <f t="shared" si="18"/>
        <v>CAPINI_1_Sous-installation avec référentiel de chaleur, non-CL (sans risque de fuite de carbone)</v>
      </c>
      <c r="R76" s="451" t="str">
        <f t="shared" si="19"/>
        <v>HAL_1_Sous-installation avec référentiel de chaleur, non-CL (sans risque de fuite de carbone)</v>
      </c>
      <c r="S76" s="441"/>
      <c r="T76" s="441"/>
      <c r="U76" s="441"/>
      <c r="V76" s="453">
        <f t="shared" si="23"/>
        <v>1</v>
      </c>
      <c r="W76" s="441"/>
      <c r="X76" s="441"/>
      <c r="Y76" s="451">
        <f t="shared" si="24"/>
      </c>
      <c r="Z76" s="448" t="b">
        <f t="shared" si="28"/>
        <v>0</v>
      </c>
      <c r="AA76" s="423"/>
    </row>
    <row r="77" spans="1:27" s="522" customFormat="1" ht="25.5" customHeight="1">
      <c r="A77" s="4"/>
      <c r="B77" s="5"/>
      <c r="C77" s="29">
        <v>13</v>
      </c>
      <c r="D77" s="940" t="str">
        <f t="shared" si="25"/>
        <v>Sous-installation avec référentiel de combustibles, CL</v>
      </c>
      <c r="E77" s="941"/>
      <c r="F77" s="941"/>
      <c r="G77" s="942"/>
      <c r="H77" s="679" t="str">
        <f t="shared" si="26"/>
        <v>TJ / année</v>
      </c>
      <c r="I77" s="536"/>
      <c r="J77" s="531"/>
      <c r="K77" s="402">
        <f t="shared" si="27"/>
      </c>
      <c r="L77" s="323"/>
      <c r="M77" s="323"/>
      <c r="N77" s="323"/>
      <c r="O77" s="323"/>
      <c r="P77" s="9"/>
      <c r="Q77" s="451" t="str">
        <f t="shared" si="18"/>
        <v>CAPINI_1_Sous-installation avec référentiel de combustibles, CL</v>
      </c>
      <c r="R77" s="451" t="str">
        <f t="shared" si="19"/>
        <v>HAL_1_Sous-installation avec référentiel de combustibles, CL</v>
      </c>
      <c r="S77" s="441"/>
      <c r="T77" s="441"/>
      <c r="U77" s="441"/>
      <c r="V77" s="453">
        <f t="shared" si="23"/>
        <v>1</v>
      </c>
      <c r="W77" s="441"/>
      <c r="X77" s="441"/>
      <c r="Y77" s="451">
        <f t="shared" si="24"/>
      </c>
      <c r="Z77" s="448" t="b">
        <f t="shared" si="28"/>
        <v>0</v>
      </c>
      <c r="AA77" s="423"/>
    </row>
    <row r="78" spans="1:27" s="522" customFormat="1" ht="25.5" customHeight="1">
      <c r="A78" s="4"/>
      <c r="B78" s="5"/>
      <c r="C78" s="29">
        <v>14</v>
      </c>
      <c r="D78" s="940" t="str">
        <f t="shared" si="25"/>
        <v>Sous-installation avec référentiel de combustibles, non-CL</v>
      </c>
      <c r="E78" s="941"/>
      <c r="F78" s="941"/>
      <c r="G78" s="942"/>
      <c r="H78" s="679" t="str">
        <f t="shared" si="26"/>
        <v>TJ / année</v>
      </c>
      <c r="I78" s="536"/>
      <c r="J78" s="531"/>
      <c r="K78" s="402">
        <f t="shared" si="27"/>
      </c>
      <c r="L78" s="323"/>
      <c r="M78" s="323"/>
      <c r="N78" s="323"/>
      <c r="O78" s="323"/>
      <c r="P78" s="9"/>
      <c r="Q78" s="451" t="str">
        <f t="shared" si="18"/>
        <v>CAPINI_1_Sous-installation avec référentiel de combustibles, non-CL</v>
      </c>
      <c r="R78" s="451" t="str">
        <f t="shared" si="19"/>
        <v>HAL_1_Sous-installation avec référentiel de combustibles, non-CL</v>
      </c>
      <c r="S78" s="441"/>
      <c r="T78" s="441"/>
      <c r="U78" s="441"/>
      <c r="V78" s="453">
        <f t="shared" si="23"/>
        <v>1</v>
      </c>
      <c r="W78" s="441"/>
      <c r="X78" s="441"/>
      <c r="Y78" s="451">
        <f t="shared" si="24"/>
      </c>
      <c r="Z78" s="448" t="b">
        <f t="shared" si="28"/>
        <v>0</v>
      </c>
      <c r="AA78" s="423"/>
    </row>
    <row r="79" spans="1:27" s="522" customFormat="1" ht="25.5" customHeight="1">
      <c r="A79" s="4"/>
      <c r="B79" s="5"/>
      <c r="C79" s="29">
        <v>15</v>
      </c>
      <c r="D79" s="940" t="str">
        <f t="shared" si="25"/>
        <v>Sous-installation avec émissions de procédé, CL</v>
      </c>
      <c r="E79" s="941"/>
      <c r="F79" s="941"/>
      <c r="G79" s="942"/>
      <c r="H79" s="679" t="str">
        <f t="shared" si="26"/>
        <v>t CO2e / année</v>
      </c>
      <c r="I79" s="536"/>
      <c r="J79" s="531"/>
      <c r="K79" s="402">
        <f t="shared" si="27"/>
      </c>
      <c r="L79" s="323"/>
      <c r="M79" s="323"/>
      <c r="N79" s="323"/>
      <c r="O79" s="323"/>
      <c r="P79" s="9"/>
      <c r="Q79" s="451" t="str">
        <f t="shared" si="18"/>
        <v>CAPINI_1_Sous-installation avec émissions de procédé, CL</v>
      </c>
      <c r="R79" s="451" t="str">
        <f t="shared" si="19"/>
        <v>HAL_1_Sous-installation avec émissions de procédé, CL</v>
      </c>
      <c r="S79" s="441"/>
      <c r="T79" s="441"/>
      <c r="U79" s="441"/>
      <c r="V79" s="453">
        <f t="shared" si="23"/>
        <v>1</v>
      </c>
      <c r="W79" s="441"/>
      <c r="X79" s="441"/>
      <c r="Y79" s="451">
        <f t="shared" si="24"/>
      </c>
      <c r="Z79" s="448" t="b">
        <f t="shared" si="28"/>
        <v>0</v>
      </c>
      <c r="AA79" s="423"/>
    </row>
    <row r="80" spans="1:27" s="522" customFormat="1" ht="25.5" customHeight="1" thickBot="1">
      <c r="A80" s="4"/>
      <c r="B80" s="5"/>
      <c r="C80" s="25">
        <v>16</v>
      </c>
      <c r="D80" s="934" t="str">
        <f t="shared" si="25"/>
        <v>Sous-installation avec émissions de procédé, non-CL</v>
      </c>
      <c r="E80" s="935"/>
      <c r="F80" s="935"/>
      <c r="G80" s="936"/>
      <c r="H80" s="680" t="str">
        <f t="shared" si="26"/>
        <v>t CO2e / année</v>
      </c>
      <c r="I80" s="537"/>
      <c r="J80" s="532"/>
      <c r="K80" s="403">
        <f t="shared" si="27"/>
      </c>
      <c r="L80" s="323"/>
      <c r="M80" s="323"/>
      <c r="N80" s="323"/>
      <c r="O80" s="323"/>
      <c r="P80" s="9"/>
      <c r="Q80" s="451" t="str">
        <f t="shared" si="18"/>
        <v>CAPINI_1_Sous-installation avec émissions de procédé, non-CL</v>
      </c>
      <c r="R80" s="451" t="str">
        <f t="shared" si="19"/>
        <v>HAL_1_Sous-installation avec émissions de procédé, non-CL</v>
      </c>
      <c r="S80" s="441"/>
      <c r="T80" s="441"/>
      <c r="U80" s="441"/>
      <c r="V80" s="454">
        <f t="shared" si="23"/>
        <v>1</v>
      </c>
      <c r="W80" s="441"/>
      <c r="X80" s="441"/>
      <c r="Y80" s="451">
        <f t="shared" si="24"/>
      </c>
      <c r="Z80" s="448" t="b">
        <f t="shared" si="28"/>
        <v>0</v>
      </c>
      <c r="AA80" s="423"/>
    </row>
    <row r="81" spans="1:27" s="522" customFormat="1" ht="25.5" customHeight="1" thickBot="1">
      <c r="A81" s="4"/>
      <c r="B81" s="5"/>
      <c r="C81" s="345"/>
      <c r="D81" s="345"/>
      <c r="E81" s="369"/>
      <c r="F81" s="369"/>
      <c r="G81" s="369"/>
      <c r="H81" s="369"/>
      <c r="I81" s="370"/>
      <c r="J81" s="374"/>
      <c r="K81" s="345"/>
      <c r="L81" s="345"/>
      <c r="M81" s="345"/>
      <c r="N81" s="345"/>
      <c r="O81" s="323"/>
      <c r="P81" s="9"/>
      <c r="Q81" s="441"/>
      <c r="R81" s="441"/>
      <c r="S81" s="441"/>
      <c r="T81" s="441"/>
      <c r="U81" s="441"/>
      <c r="V81" s="441"/>
      <c r="W81" s="441"/>
      <c r="X81" s="441"/>
      <c r="Y81" s="441"/>
      <c r="Z81" s="441"/>
      <c r="AA81" s="423"/>
    </row>
    <row r="82" spans="1:27" s="522" customFormat="1" ht="4.5" customHeight="1" thickBot="1">
      <c r="A82" s="4"/>
      <c r="B82" s="5"/>
      <c r="C82" s="7"/>
      <c r="D82" s="5"/>
      <c r="E82" s="5"/>
      <c r="F82" s="5"/>
      <c r="G82" s="5"/>
      <c r="H82" s="5"/>
      <c r="I82" s="5"/>
      <c r="J82" s="5"/>
      <c r="K82" s="5"/>
      <c r="L82" s="5"/>
      <c r="M82" s="9"/>
      <c r="N82" s="9"/>
      <c r="O82" s="315"/>
      <c r="P82" s="9"/>
      <c r="Q82" s="441"/>
      <c r="R82" s="423"/>
      <c r="S82" s="423"/>
      <c r="T82" s="423"/>
      <c r="U82" s="423"/>
      <c r="V82" s="423"/>
      <c r="W82" s="423"/>
      <c r="X82" s="423"/>
      <c r="Y82" s="423"/>
      <c r="Z82" s="423"/>
      <c r="AA82" s="423"/>
    </row>
    <row r="83" spans="1:27" s="525" customFormat="1" ht="18" customHeight="1" thickBot="1">
      <c r="A83" s="207"/>
      <c r="B83" s="208"/>
      <c r="C83" s="337">
        <v>2</v>
      </c>
      <c r="D83" s="972" t="str">
        <f>Translations!$B$1492&amp;" "&amp;C83&amp;":"</f>
        <v>Installation AVANT fusion, scission ou transfert 2:</v>
      </c>
      <c r="E83" s="972"/>
      <c r="F83" s="972"/>
      <c r="G83" s="972"/>
      <c r="H83" s="972"/>
      <c r="I83" s="972"/>
      <c r="J83" s="973"/>
      <c r="K83" s="952">
        <f>INDEX(A_InstallationData!$J$200:$J$273,MATCH($C83,A_InstallationData!$R$200:$R$273,0))</f>
      </c>
      <c r="L83" s="953"/>
      <c r="M83" s="953"/>
      <c r="N83" s="954"/>
      <c r="O83" s="339"/>
      <c r="P83" s="331"/>
      <c r="Q83" s="445"/>
      <c r="R83" s="445"/>
      <c r="S83" s="445"/>
      <c r="T83" s="423"/>
      <c r="U83" s="445"/>
      <c r="V83" s="445"/>
      <c r="W83" s="445"/>
      <c r="X83" s="445"/>
      <c r="Y83" s="445"/>
      <c r="Z83" s="447" t="s">
        <v>299</v>
      </c>
      <c r="AA83" s="423"/>
    </row>
    <row r="84" spans="1:27" s="522" customFormat="1" ht="18" customHeight="1">
      <c r="A84" s="4"/>
      <c r="B84" s="5"/>
      <c r="C84" s="7"/>
      <c r="D84" s="5"/>
      <c r="E84" s="9"/>
      <c r="F84" s="5"/>
      <c r="G84" s="5"/>
      <c r="H84" s="5"/>
      <c r="I84" s="5"/>
      <c r="J84" s="5"/>
      <c r="K84" s="5"/>
      <c r="L84" s="5"/>
      <c r="M84" s="955">
        <f>IF(CNTR_Merger&lt;&gt;TRUE,"",IF(OR(K83="",CNTR_MergerORSplitORTransfer=2),EUconst_NotRelevant,EUconst_Relevant))</f>
      </c>
      <c r="N84" s="955"/>
      <c r="O84" s="315"/>
      <c r="P84" s="9"/>
      <c r="Q84" s="441"/>
      <c r="R84" s="423"/>
      <c r="S84" s="423"/>
      <c r="T84" s="423"/>
      <c r="U84" s="423"/>
      <c r="V84" s="423"/>
      <c r="W84" s="423"/>
      <c r="X84" s="423"/>
      <c r="Y84" s="423"/>
      <c r="Z84" s="423"/>
      <c r="AA84" s="423"/>
    </row>
    <row r="85" spans="1:27" s="522" customFormat="1" ht="12.75" customHeight="1">
      <c r="A85" s="4"/>
      <c r="B85" s="5"/>
      <c r="C85" s="7"/>
      <c r="D85" s="5"/>
      <c r="E85" s="5"/>
      <c r="F85" s="5"/>
      <c r="G85" s="5"/>
      <c r="H85" s="5"/>
      <c r="I85" s="5"/>
      <c r="J85" s="5"/>
      <c r="K85" s="5"/>
      <c r="L85" s="5"/>
      <c r="M85" s="9"/>
      <c r="N85" s="9"/>
      <c r="O85" s="315"/>
      <c r="P85" s="9"/>
      <c r="Q85" s="441"/>
      <c r="R85" s="423"/>
      <c r="S85" s="423"/>
      <c r="T85" s="423"/>
      <c r="U85" s="423"/>
      <c r="V85" s="423"/>
      <c r="W85" s="423"/>
      <c r="X85" s="423"/>
      <c r="Y85" s="423"/>
      <c r="Z85" s="423"/>
      <c r="AA85" s="423"/>
    </row>
    <row r="86" spans="1:27" s="522" customFormat="1" ht="12.75" customHeight="1">
      <c r="A86" s="4"/>
      <c r="B86" s="5"/>
      <c r="C86" s="5"/>
      <c r="D86" s="193" t="s">
        <v>463</v>
      </c>
      <c r="E86" s="743" t="str">
        <f>Translations!$B$1551</f>
        <v>Allocation finale la plus récente sans facteurs d’ajustement pour cessation partielle</v>
      </c>
      <c r="F86" s="742"/>
      <c r="G86" s="742"/>
      <c r="H86" s="742"/>
      <c r="I86" s="742"/>
      <c r="J86" s="742"/>
      <c r="K86" s="742"/>
      <c r="L86" s="742"/>
      <c r="M86" s="742"/>
      <c r="N86" s="742"/>
      <c r="O86" s="317"/>
      <c r="P86" s="378"/>
      <c r="Q86" s="441"/>
      <c r="R86" s="423"/>
      <c r="S86" s="423"/>
      <c r="T86" s="423"/>
      <c r="U86" s="423"/>
      <c r="V86" s="423"/>
      <c r="W86" s="423"/>
      <c r="X86" s="423"/>
      <c r="Y86" s="423"/>
      <c r="Z86" s="423"/>
      <c r="AA86" s="423"/>
    </row>
    <row r="87" spans="1:27" s="522" customFormat="1" ht="4.5" customHeight="1">
      <c r="A87" s="4"/>
      <c r="B87" s="5"/>
      <c r="C87" s="5"/>
      <c r="D87" s="5"/>
      <c r="E87" s="5"/>
      <c r="F87" s="5"/>
      <c r="G87" s="5"/>
      <c r="H87" s="5"/>
      <c r="I87" s="5"/>
      <c r="J87" s="5"/>
      <c r="K87" s="5"/>
      <c r="L87" s="5"/>
      <c r="M87" s="9"/>
      <c r="N87" s="9"/>
      <c r="O87" s="323"/>
      <c r="P87" s="9"/>
      <c r="Q87" s="441"/>
      <c r="R87" s="423"/>
      <c r="S87" s="423"/>
      <c r="T87" s="423"/>
      <c r="U87" s="423"/>
      <c r="V87" s="423"/>
      <c r="W87" s="423"/>
      <c r="X87" s="423"/>
      <c r="Y87" s="423"/>
      <c r="Z87" s="423"/>
      <c r="AA87" s="423"/>
    </row>
    <row r="88" spans="1:27" s="522" customFormat="1" ht="12.75" customHeight="1" thickBot="1">
      <c r="A88" s="4"/>
      <c r="B88" s="5"/>
      <c r="C88" s="20"/>
      <c r="D88" s="857" t="str">
        <f>Translations!$B$440</f>
        <v>Sous-installation</v>
      </c>
      <c r="E88" s="896"/>
      <c r="F88" s="968"/>
      <c r="G88" s="211">
        <v>2013</v>
      </c>
      <c r="H88" s="211">
        <v>2014</v>
      </c>
      <c r="I88" s="211">
        <v>2015</v>
      </c>
      <c r="J88" s="211">
        <v>2016</v>
      </c>
      <c r="K88" s="211">
        <v>2017</v>
      </c>
      <c r="L88" s="211">
        <v>2018</v>
      </c>
      <c r="M88" s="211">
        <v>2019</v>
      </c>
      <c r="N88" s="211">
        <v>2020</v>
      </c>
      <c r="O88" s="323"/>
      <c r="P88" s="321"/>
      <c r="Q88" s="441"/>
      <c r="R88" s="423"/>
      <c r="S88" s="423"/>
      <c r="T88" s="449" t="s">
        <v>500</v>
      </c>
      <c r="U88" s="423"/>
      <c r="V88" s="449" t="s">
        <v>548</v>
      </c>
      <c r="W88" s="423"/>
      <c r="X88" s="450" t="s">
        <v>549</v>
      </c>
      <c r="Y88" s="423"/>
      <c r="Z88" s="447" t="s">
        <v>299</v>
      </c>
      <c r="AA88" s="423"/>
    </row>
    <row r="89" spans="1:27" s="522" customFormat="1" ht="12.75" customHeight="1" thickBot="1">
      <c r="A89" s="4"/>
      <c r="B89" s="5"/>
      <c r="C89" s="210">
        <v>0</v>
      </c>
      <c r="D89" s="946" t="str">
        <f>Translations!$B$1447</f>
        <v>Phase antérieure au début</v>
      </c>
      <c r="E89" s="947"/>
      <c r="F89" s="948"/>
      <c r="G89" s="514"/>
      <c r="H89" s="514"/>
      <c r="I89" s="514"/>
      <c r="J89" s="514"/>
      <c r="K89" s="514"/>
      <c r="L89" s="514"/>
      <c r="M89" s="514"/>
      <c r="N89" s="514"/>
      <c r="O89" s="323"/>
      <c r="P89" s="321"/>
      <c r="Q89" s="451" t="str">
        <f aca="true" t="shared" si="29" ref="Q89:Q106">EUconst_CNTR_Finitial&amp;$V89&amp;"_"&amp;$D89</f>
        <v>FInitial_2_Phase antérieure au début</v>
      </c>
      <c r="R89" s="423"/>
      <c r="S89" s="423"/>
      <c r="T89" s="449"/>
      <c r="U89" s="423"/>
      <c r="V89" s="452">
        <f>C83</f>
        <v>2</v>
      </c>
      <c r="W89" s="423"/>
      <c r="X89" s="448" t="b">
        <f aca="true" t="shared" si="30" ref="X89:X106">COUNT(G89:N89)&gt;0</f>
        <v>0</v>
      </c>
      <c r="Y89" s="423"/>
      <c r="Z89" s="448" t="b">
        <f>M84=EUconst_NotRelevant</f>
        <v>0</v>
      </c>
      <c r="AA89" s="423"/>
    </row>
    <row r="90" spans="1:27" s="522" customFormat="1" ht="12.75" customHeight="1">
      <c r="A90" s="4"/>
      <c r="B90" s="5"/>
      <c r="C90" s="29">
        <v>1</v>
      </c>
      <c r="D90" s="969"/>
      <c r="E90" s="970"/>
      <c r="F90" s="971"/>
      <c r="G90" s="348"/>
      <c r="H90" s="348"/>
      <c r="I90" s="348"/>
      <c r="J90" s="348"/>
      <c r="K90" s="348"/>
      <c r="L90" s="348"/>
      <c r="M90" s="348"/>
      <c r="N90" s="348"/>
      <c r="O90" s="323"/>
      <c r="P90" s="321"/>
      <c r="Q90" s="451" t="str">
        <f t="shared" si="29"/>
        <v>FInitial_2_</v>
      </c>
      <c r="R90" s="423"/>
      <c r="S90" s="423"/>
      <c r="T90" s="452">
        <f>IF(OR(D90="",COUNTIF($D$17:D90,D90)&gt;1),"",MAX($T$17:T89)+1)</f>
      </c>
      <c r="U90" s="423"/>
      <c r="V90" s="453">
        <f aca="true" t="shared" si="31" ref="V90:V106">V89</f>
        <v>2</v>
      </c>
      <c r="W90" s="423"/>
      <c r="X90" s="448" t="b">
        <f t="shared" si="30"/>
        <v>0</v>
      </c>
      <c r="Y90" s="423"/>
      <c r="Z90" s="448" t="b">
        <f aca="true" t="shared" si="32" ref="Z90:Z107">Z89</f>
        <v>0</v>
      </c>
      <c r="AA90" s="423"/>
    </row>
    <row r="91" spans="1:27" s="522" customFormat="1" ht="12.75" customHeight="1">
      <c r="A91" s="4"/>
      <c r="B91" s="5"/>
      <c r="C91" s="29">
        <v>2</v>
      </c>
      <c r="D91" s="855"/>
      <c r="E91" s="872"/>
      <c r="F91" s="856"/>
      <c r="G91" s="347"/>
      <c r="H91" s="347"/>
      <c r="I91" s="347"/>
      <c r="J91" s="347"/>
      <c r="K91" s="347"/>
      <c r="L91" s="347"/>
      <c r="M91" s="347"/>
      <c r="N91" s="347"/>
      <c r="O91" s="323"/>
      <c r="P91" s="321"/>
      <c r="Q91" s="451" t="str">
        <f t="shared" si="29"/>
        <v>FInitial_2_</v>
      </c>
      <c r="R91" s="423"/>
      <c r="S91" s="423"/>
      <c r="T91" s="453">
        <f>IF(OR(D91="",COUNTIF($D$17:D91,D91)&gt;1),"",MAX($T$17:T90)+1)</f>
      </c>
      <c r="U91" s="423"/>
      <c r="V91" s="453">
        <f t="shared" si="31"/>
        <v>2</v>
      </c>
      <c r="W91" s="423"/>
      <c r="X91" s="448" t="b">
        <f t="shared" si="30"/>
        <v>0</v>
      </c>
      <c r="Y91" s="423"/>
      <c r="Z91" s="448" t="b">
        <f t="shared" si="32"/>
        <v>0</v>
      </c>
      <c r="AA91" s="423"/>
    </row>
    <row r="92" spans="1:27" s="522" customFormat="1" ht="12.75" customHeight="1">
      <c r="A92" s="4"/>
      <c r="B92" s="5"/>
      <c r="C92" s="29">
        <v>3</v>
      </c>
      <c r="D92" s="855"/>
      <c r="E92" s="872"/>
      <c r="F92" s="856"/>
      <c r="G92" s="347"/>
      <c r="H92" s="347"/>
      <c r="I92" s="347"/>
      <c r="J92" s="347"/>
      <c r="K92" s="347"/>
      <c r="L92" s="347"/>
      <c r="M92" s="347"/>
      <c r="N92" s="347"/>
      <c r="O92" s="323"/>
      <c r="P92" s="321"/>
      <c r="Q92" s="451" t="str">
        <f t="shared" si="29"/>
        <v>FInitial_2_</v>
      </c>
      <c r="R92" s="423"/>
      <c r="S92" s="423"/>
      <c r="T92" s="453">
        <f>IF(OR(D92="",COUNTIF($D$17:D92,D92)&gt;1),"",MAX($T$17:T91)+1)</f>
      </c>
      <c r="U92" s="423"/>
      <c r="V92" s="453">
        <f t="shared" si="31"/>
        <v>2</v>
      </c>
      <c r="W92" s="423"/>
      <c r="X92" s="448" t="b">
        <f t="shared" si="30"/>
        <v>0</v>
      </c>
      <c r="Y92" s="423"/>
      <c r="Z92" s="448" t="b">
        <f t="shared" si="32"/>
        <v>0</v>
      </c>
      <c r="AA92" s="423"/>
    </row>
    <row r="93" spans="1:27" s="522" customFormat="1" ht="12.75" customHeight="1">
      <c r="A93" s="4"/>
      <c r="B93" s="5"/>
      <c r="C93" s="29">
        <v>4</v>
      </c>
      <c r="D93" s="855"/>
      <c r="E93" s="872"/>
      <c r="F93" s="856"/>
      <c r="G93" s="347"/>
      <c r="H93" s="347"/>
      <c r="I93" s="347"/>
      <c r="J93" s="347"/>
      <c r="K93" s="347"/>
      <c r="L93" s="347"/>
      <c r="M93" s="347"/>
      <c r="N93" s="347"/>
      <c r="O93" s="323"/>
      <c r="P93" s="321"/>
      <c r="Q93" s="451" t="str">
        <f t="shared" si="29"/>
        <v>FInitial_2_</v>
      </c>
      <c r="R93" s="423"/>
      <c r="S93" s="423"/>
      <c r="T93" s="453">
        <f>IF(OR(D93="",COUNTIF($D$17:D93,D93)&gt;1),"",MAX($T$17:T92)+1)</f>
      </c>
      <c r="U93" s="423"/>
      <c r="V93" s="453">
        <f t="shared" si="31"/>
        <v>2</v>
      </c>
      <c r="W93" s="423"/>
      <c r="X93" s="448" t="b">
        <f t="shared" si="30"/>
        <v>0</v>
      </c>
      <c r="Y93" s="423"/>
      <c r="Z93" s="448" t="b">
        <f t="shared" si="32"/>
        <v>0</v>
      </c>
      <c r="AA93" s="423"/>
    </row>
    <row r="94" spans="1:27" s="522" customFormat="1" ht="12.75" customHeight="1">
      <c r="A94" s="4"/>
      <c r="B94" s="5"/>
      <c r="C94" s="29">
        <v>5</v>
      </c>
      <c r="D94" s="855"/>
      <c r="E94" s="872"/>
      <c r="F94" s="856"/>
      <c r="G94" s="347"/>
      <c r="H94" s="347"/>
      <c r="I94" s="347"/>
      <c r="J94" s="347"/>
      <c r="K94" s="347"/>
      <c r="L94" s="347"/>
      <c r="M94" s="347"/>
      <c r="N94" s="347"/>
      <c r="O94" s="323"/>
      <c r="P94" s="321"/>
      <c r="Q94" s="451" t="str">
        <f t="shared" si="29"/>
        <v>FInitial_2_</v>
      </c>
      <c r="R94" s="423"/>
      <c r="S94" s="423"/>
      <c r="T94" s="453">
        <f>IF(OR(D94="",COUNTIF($D$17:D94,D94)&gt;1),"",MAX($T$17:T93)+1)</f>
      </c>
      <c r="U94" s="423"/>
      <c r="V94" s="453">
        <f t="shared" si="31"/>
        <v>2</v>
      </c>
      <c r="W94" s="423"/>
      <c r="X94" s="448" t="b">
        <f t="shared" si="30"/>
        <v>0</v>
      </c>
      <c r="Y94" s="423"/>
      <c r="Z94" s="448" t="b">
        <f t="shared" si="32"/>
        <v>0</v>
      </c>
      <c r="AA94" s="423"/>
    </row>
    <row r="95" spans="1:27" s="522" customFormat="1" ht="12.75" customHeight="1">
      <c r="A95" s="4"/>
      <c r="B95" s="5"/>
      <c r="C95" s="29">
        <v>6</v>
      </c>
      <c r="D95" s="855"/>
      <c r="E95" s="872"/>
      <c r="F95" s="856"/>
      <c r="G95" s="347"/>
      <c r="H95" s="347"/>
      <c r="I95" s="347"/>
      <c r="J95" s="347"/>
      <c r="K95" s="347"/>
      <c r="L95" s="347"/>
      <c r="M95" s="347"/>
      <c r="N95" s="347"/>
      <c r="O95" s="323"/>
      <c r="P95" s="9"/>
      <c r="Q95" s="451" t="str">
        <f t="shared" si="29"/>
        <v>FInitial_2_</v>
      </c>
      <c r="R95" s="423"/>
      <c r="S95" s="423"/>
      <c r="T95" s="453">
        <f>IF(OR(D95="",COUNTIF($D$17:D95,D95)&gt;1),"",MAX($T$17:T94)+1)</f>
      </c>
      <c r="U95" s="423"/>
      <c r="V95" s="453">
        <f t="shared" si="31"/>
        <v>2</v>
      </c>
      <c r="W95" s="423"/>
      <c r="X95" s="448" t="b">
        <f t="shared" si="30"/>
        <v>0</v>
      </c>
      <c r="Y95" s="423"/>
      <c r="Z95" s="448" t="b">
        <f t="shared" si="32"/>
        <v>0</v>
      </c>
      <c r="AA95" s="423"/>
    </row>
    <row r="96" spans="1:27" s="522" customFormat="1" ht="12.75" customHeight="1">
      <c r="A96" s="4"/>
      <c r="B96" s="5"/>
      <c r="C96" s="29">
        <v>7</v>
      </c>
      <c r="D96" s="855"/>
      <c r="E96" s="872"/>
      <c r="F96" s="856"/>
      <c r="G96" s="347"/>
      <c r="H96" s="347"/>
      <c r="I96" s="347"/>
      <c r="J96" s="347"/>
      <c r="K96" s="347"/>
      <c r="L96" s="347"/>
      <c r="M96" s="347"/>
      <c r="N96" s="347"/>
      <c r="O96" s="323"/>
      <c r="P96" s="9"/>
      <c r="Q96" s="451" t="str">
        <f t="shared" si="29"/>
        <v>FInitial_2_</v>
      </c>
      <c r="R96" s="423"/>
      <c r="S96" s="423"/>
      <c r="T96" s="453">
        <f>IF(OR(D96="",COUNTIF($D$17:D96,D96)&gt;1),"",MAX($T$17:T95)+1)</f>
      </c>
      <c r="U96" s="423"/>
      <c r="V96" s="453">
        <f t="shared" si="31"/>
        <v>2</v>
      </c>
      <c r="W96" s="423"/>
      <c r="X96" s="448" t="b">
        <f t="shared" si="30"/>
        <v>0</v>
      </c>
      <c r="Y96" s="423"/>
      <c r="Z96" s="448" t="b">
        <f t="shared" si="32"/>
        <v>0</v>
      </c>
      <c r="AA96" s="423"/>
    </row>
    <row r="97" spans="1:27" s="522" customFormat="1" ht="12.75" customHeight="1">
      <c r="A97" s="4"/>
      <c r="B97" s="5"/>
      <c r="C97" s="29">
        <v>8</v>
      </c>
      <c r="D97" s="855"/>
      <c r="E97" s="872"/>
      <c r="F97" s="856"/>
      <c r="G97" s="347"/>
      <c r="H97" s="347"/>
      <c r="I97" s="347"/>
      <c r="J97" s="347"/>
      <c r="K97" s="347"/>
      <c r="L97" s="347"/>
      <c r="M97" s="347"/>
      <c r="N97" s="347"/>
      <c r="O97" s="323"/>
      <c r="P97" s="9"/>
      <c r="Q97" s="451" t="str">
        <f t="shared" si="29"/>
        <v>FInitial_2_</v>
      </c>
      <c r="R97" s="423"/>
      <c r="S97" s="423"/>
      <c r="T97" s="453">
        <f>IF(OR(D97="",COUNTIF($D$17:D97,D97)&gt;1),"",MAX($T$17:T96)+1)</f>
      </c>
      <c r="U97" s="423"/>
      <c r="V97" s="453">
        <f t="shared" si="31"/>
        <v>2</v>
      </c>
      <c r="W97" s="423"/>
      <c r="X97" s="448" t="b">
        <f t="shared" si="30"/>
        <v>0</v>
      </c>
      <c r="Y97" s="423"/>
      <c r="Z97" s="448" t="b">
        <f t="shared" si="32"/>
        <v>0</v>
      </c>
      <c r="AA97" s="423"/>
    </row>
    <row r="98" spans="1:27" s="522" customFormat="1" ht="12.75" customHeight="1">
      <c r="A98" s="4"/>
      <c r="B98" s="5"/>
      <c r="C98" s="29">
        <v>9</v>
      </c>
      <c r="D98" s="855"/>
      <c r="E98" s="872"/>
      <c r="F98" s="856"/>
      <c r="G98" s="347"/>
      <c r="H98" s="347"/>
      <c r="I98" s="347"/>
      <c r="J98" s="347"/>
      <c r="K98" s="347"/>
      <c r="L98" s="347"/>
      <c r="M98" s="347"/>
      <c r="N98" s="347"/>
      <c r="O98" s="323"/>
      <c r="P98" s="9"/>
      <c r="Q98" s="451" t="str">
        <f t="shared" si="29"/>
        <v>FInitial_2_</v>
      </c>
      <c r="R98" s="423"/>
      <c r="S98" s="423"/>
      <c r="T98" s="453">
        <f>IF(OR(D98="",COUNTIF($D$17:D98,D98)&gt;1),"",MAX($T$17:T97)+1)</f>
      </c>
      <c r="U98" s="423"/>
      <c r="V98" s="453">
        <f t="shared" si="31"/>
        <v>2</v>
      </c>
      <c r="W98" s="423"/>
      <c r="X98" s="448" t="b">
        <f t="shared" si="30"/>
        <v>0</v>
      </c>
      <c r="Y98" s="423"/>
      <c r="Z98" s="448" t="b">
        <f t="shared" si="32"/>
        <v>0</v>
      </c>
      <c r="AA98" s="423"/>
    </row>
    <row r="99" spans="1:27" s="522" customFormat="1" ht="12.75" customHeight="1" thickBot="1">
      <c r="A99" s="4"/>
      <c r="B99" s="5"/>
      <c r="C99" s="25">
        <v>10</v>
      </c>
      <c r="D99" s="878"/>
      <c r="E99" s="879"/>
      <c r="F99" s="880"/>
      <c r="G99" s="187"/>
      <c r="H99" s="187"/>
      <c r="I99" s="187"/>
      <c r="J99" s="187"/>
      <c r="K99" s="187"/>
      <c r="L99" s="187"/>
      <c r="M99" s="187"/>
      <c r="N99" s="187"/>
      <c r="O99" s="323"/>
      <c r="P99" s="9"/>
      <c r="Q99" s="451" t="str">
        <f t="shared" si="29"/>
        <v>FInitial_2_</v>
      </c>
      <c r="R99" s="423"/>
      <c r="S99" s="423"/>
      <c r="T99" s="454">
        <f>IF(OR(D99="",COUNTIF($D$17:D99,D99)&gt;1),"",MAX($T$17:T98)+1)</f>
      </c>
      <c r="U99" s="423"/>
      <c r="V99" s="453">
        <f t="shared" si="31"/>
        <v>2</v>
      </c>
      <c r="W99" s="423"/>
      <c r="X99" s="448" t="b">
        <f t="shared" si="30"/>
        <v>0</v>
      </c>
      <c r="Y99" s="423"/>
      <c r="Z99" s="448" t="b">
        <f t="shared" si="32"/>
        <v>0</v>
      </c>
      <c r="AA99" s="423"/>
    </row>
    <row r="100" spans="1:27" s="522" customFormat="1" ht="38.25" customHeight="1">
      <c r="A100" s="4"/>
      <c r="B100" s="5"/>
      <c r="C100" s="29">
        <v>11</v>
      </c>
      <c r="D100" s="937" t="str">
        <f aca="true" t="shared" si="33" ref="D100:D105">INDEX(EUconst_FallBackListNames,C100-10)</f>
        <v>Sous-installation avec référentiel de chaleur, CL (risque de fuite de carbone)</v>
      </c>
      <c r="E100" s="938"/>
      <c r="F100" s="939"/>
      <c r="G100" s="348"/>
      <c r="H100" s="348"/>
      <c r="I100" s="348"/>
      <c r="J100" s="348"/>
      <c r="K100" s="348"/>
      <c r="L100" s="348"/>
      <c r="M100" s="348"/>
      <c r="N100" s="348"/>
      <c r="O100" s="323"/>
      <c r="P100" s="9"/>
      <c r="Q100" s="451" t="str">
        <f t="shared" si="29"/>
        <v>FInitial_2_Sous-installation avec référentiel de chaleur, CL (risque de fuite de carbone)</v>
      </c>
      <c r="R100" s="423"/>
      <c r="S100" s="423"/>
      <c r="T100" s="423"/>
      <c r="U100" s="423"/>
      <c r="V100" s="453">
        <f t="shared" si="31"/>
        <v>2</v>
      </c>
      <c r="W100" s="423"/>
      <c r="X100" s="448" t="b">
        <f t="shared" si="30"/>
        <v>0</v>
      </c>
      <c r="Y100" s="423"/>
      <c r="Z100" s="448" t="b">
        <f t="shared" si="32"/>
        <v>0</v>
      </c>
      <c r="AA100" s="423"/>
    </row>
    <row r="101" spans="1:27" s="522" customFormat="1" ht="38.25" customHeight="1">
      <c r="A101" s="4"/>
      <c r="B101" s="5"/>
      <c r="C101" s="29">
        <v>12</v>
      </c>
      <c r="D101" s="940" t="str">
        <f t="shared" si="33"/>
        <v>Sous-installation avec référentiel de chaleur, non-CL (sans risque de fuite de carbone)</v>
      </c>
      <c r="E101" s="941"/>
      <c r="F101" s="942"/>
      <c r="G101" s="347"/>
      <c r="H101" s="347"/>
      <c r="I101" s="347"/>
      <c r="J101" s="347"/>
      <c r="K101" s="347"/>
      <c r="L101" s="347"/>
      <c r="M101" s="347"/>
      <c r="N101" s="347"/>
      <c r="O101" s="323"/>
      <c r="P101" s="9"/>
      <c r="Q101" s="451" t="str">
        <f t="shared" si="29"/>
        <v>FInitial_2_Sous-installation avec référentiel de chaleur, non-CL (sans risque de fuite de carbone)</v>
      </c>
      <c r="R101" s="423"/>
      <c r="S101" s="423"/>
      <c r="T101" s="423"/>
      <c r="U101" s="423"/>
      <c r="V101" s="453">
        <f t="shared" si="31"/>
        <v>2</v>
      </c>
      <c r="W101" s="423"/>
      <c r="X101" s="448" t="b">
        <f t="shared" si="30"/>
        <v>0</v>
      </c>
      <c r="Y101" s="423"/>
      <c r="Z101" s="448" t="b">
        <f t="shared" si="32"/>
        <v>0</v>
      </c>
      <c r="AA101" s="423"/>
    </row>
    <row r="102" spans="1:27" s="522" customFormat="1" ht="25.5" customHeight="1">
      <c r="A102" s="4"/>
      <c r="B102" s="5"/>
      <c r="C102" s="29">
        <v>13</v>
      </c>
      <c r="D102" s="940" t="str">
        <f t="shared" si="33"/>
        <v>Sous-installation avec référentiel de combustibles, CL</v>
      </c>
      <c r="E102" s="941"/>
      <c r="F102" s="942"/>
      <c r="G102" s="347"/>
      <c r="H102" s="347"/>
      <c r="I102" s="347"/>
      <c r="J102" s="347"/>
      <c r="K102" s="347"/>
      <c r="L102" s="347"/>
      <c r="M102" s="347"/>
      <c r="N102" s="347"/>
      <c r="O102" s="323"/>
      <c r="P102" s="9"/>
      <c r="Q102" s="451" t="str">
        <f t="shared" si="29"/>
        <v>FInitial_2_Sous-installation avec référentiel de combustibles, CL</v>
      </c>
      <c r="R102" s="423"/>
      <c r="S102" s="423"/>
      <c r="T102" s="423"/>
      <c r="U102" s="423"/>
      <c r="V102" s="453">
        <f t="shared" si="31"/>
        <v>2</v>
      </c>
      <c r="W102" s="423"/>
      <c r="X102" s="448" t="b">
        <f t="shared" si="30"/>
        <v>0</v>
      </c>
      <c r="Y102" s="423"/>
      <c r="Z102" s="448" t="b">
        <f t="shared" si="32"/>
        <v>0</v>
      </c>
      <c r="AA102" s="423"/>
    </row>
    <row r="103" spans="1:27" s="522" customFormat="1" ht="25.5" customHeight="1">
      <c r="A103" s="4"/>
      <c r="B103" s="5"/>
      <c r="C103" s="29">
        <v>14</v>
      </c>
      <c r="D103" s="940" t="str">
        <f t="shared" si="33"/>
        <v>Sous-installation avec référentiel de combustibles, non-CL</v>
      </c>
      <c r="E103" s="941"/>
      <c r="F103" s="942"/>
      <c r="G103" s="347"/>
      <c r="H103" s="347"/>
      <c r="I103" s="347"/>
      <c r="J103" s="347"/>
      <c r="K103" s="347"/>
      <c r="L103" s="347"/>
      <c r="M103" s="347"/>
      <c r="N103" s="347"/>
      <c r="O103" s="323"/>
      <c r="P103" s="9"/>
      <c r="Q103" s="451" t="str">
        <f t="shared" si="29"/>
        <v>FInitial_2_Sous-installation avec référentiel de combustibles, non-CL</v>
      </c>
      <c r="R103" s="423"/>
      <c r="S103" s="423"/>
      <c r="T103" s="423"/>
      <c r="U103" s="423"/>
      <c r="V103" s="453">
        <f t="shared" si="31"/>
        <v>2</v>
      </c>
      <c r="W103" s="423"/>
      <c r="X103" s="448" t="b">
        <f t="shared" si="30"/>
        <v>0</v>
      </c>
      <c r="Y103" s="423"/>
      <c r="Z103" s="448" t="b">
        <f t="shared" si="32"/>
        <v>0</v>
      </c>
      <c r="AA103" s="423"/>
    </row>
    <row r="104" spans="1:27" s="522" customFormat="1" ht="25.5" customHeight="1">
      <c r="A104" s="4"/>
      <c r="B104" s="5"/>
      <c r="C104" s="29">
        <v>15</v>
      </c>
      <c r="D104" s="940" t="str">
        <f t="shared" si="33"/>
        <v>Sous-installation avec émissions de procédé, CL</v>
      </c>
      <c r="E104" s="941"/>
      <c r="F104" s="942"/>
      <c r="G104" s="347"/>
      <c r="H104" s="347"/>
      <c r="I104" s="347"/>
      <c r="J104" s="347"/>
      <c r="K104" s="347"/>
      <c r="L104" s="347"/>
      <c r="M104" s="347"/>
      <c r="N104" s="347"/>
      <c r="O104" s="323"/>
      <c r="P104" s="9"/>
      <c r="Q104" s="451" t="str">
        <f t="shared" si="29"/>
        <v>FInitial_2_Sous-installation avec émissions de procédé, CL</v>
      </c>
      <c r="R104" s="423"/>
      <c r="S104" s="423"/>
      <c r="T104" s="423"/>
      <c r="U104" s="423"/>
      <c r="V104" s="453">
        <f t="shared" si="31"/>
        <v>2</v>
      </c>
      <c r="W104" s="423"/>
      <c r="X104" s="448" t="b">
        <f t="shared" si="30"/>
        <v>0</v>
      </c>
      <c r="Y104" s="423"/>
      <c r="Z104" s="448" t="b">
        <f t="shared" si="32"/>
        <v>0</v>
      </c>
      <c r="AA104" s="423"/>
    </row>
    <row r="105" spans="1:27" s="522" customFormat="1" ht="25.5" customHeight="1">
      <c r="A105" s="4"/>
      <c r="B105" s="5"/>
      <c r="C105" s="29">
        <v>16</v>
      </c>
      <c r="D105" s="934" t="str">
        <f t="shared" si="33"/>
        <v>Sous-installation avec émissions de procédé, non-CL</v>
      </c>
      <c r="E105" s="935"/>
      <c r="F105" s="936"/>
      <c r="G105" s="373"/>
      <c r="H105" s="373"/>
      <c r="I105" s="373"/>
      <c r="J105" s="373"/>
      <c r="K105" s="373"/>
      <c r="L105" s="373"/>
      <c r="M105" s="373"/>
      <c r="N105" s="373"/>
      <c r="O105" s="323"/>
      <c r="P105" s="9"/>
      <c r="Q105" s="451" t="str">
        <f t="shared" si="29"/>
        <v>FInitial_2_Sous-installation avec émissions de procédé, non-CL</v>
      </c>
      <c r="R105" s="423"/>
      <c r="S105" s="423"/>
      <c r="T105" s="423"/>
      <c r="U105" s="423"/>
      <c r="V105" s="453">
        <f t="shared" si="31"/>
        <v>2</v>
      </c>
      <c r="W105" s="423"/>
      <c r="X105" s="448" t="b">
        <f t="shared" si="30"/>
        <v>0</v>
      </c>
      <c r="Y105" s="423"/>
      <c r="Z105" s="448" t="b">
        <f t="shared" si="32"/>
        <v>0</v>
      </c>
      <c r="AA105" s="423"/>
    </row>
    <row r="106" spans="1:27" s="522" customFormat="1" ht="12.75" customHeight="1" thickBot="1">
      <c r="A106" s="4"/>
      <c r="B106" s="5"/>
      <c r="C106" s="413">
        <v>17</v>
      </c>
      <c r="D106" s="943" t="str">
        <f>EUconst_PrivateHouseholds</f>
        <v>Ménages privés</v>
      </c>
      <c r="E106" s="944"/>
      <c r="F106" s="945"/>
      <c r="G106" s="415"/>
      <c r="H106" s="415"/>
      <c r="I106" s="415"/>
      <c r="J106" s="415"/>
      <c r="K106" s="415"/>
      <c r="L106" s="415"/>
      <c r="M106" s="415"/>
      <c r="N106" s="415"/>
      <c r="O106" s="323"/>
      <c r="P106" s="9"/>
      <c r="Q106" s="451" t="str">
        <f t="shared" si="29"/>
        <v>FInitial_2_Ménages privés</v>
      </c>
      <c r="R106" s="423"/>
      <c r="S106" s="423"/>
      <c r="T106" s="423"/>
      <c r="U106" s="423"/>
      <c r="V106" s="454">
        <f t="shared" si="31"/>
        <v>2</v>
      </c>
      <c r="W106" s="423"/>
      <c r="X106" s="448" t="b">
        <f t="shared" si="30"/>
        <v>0</v>
      </c>
      <c r="Y106" s="423"/>
      <c r="Z106" s="448" t="b">
        <f t="shared" si="32"/>
        <v>0</v>
      </c>
      <c r="AA106" s="423"/>
    </row>
    <row r="107" spans="1:27" s="522" customFormat="1" ht="12.75" customHeight="1">
      <c r="A107" s="4"/>
      <c r="B107" s="5"/>
      <c r="C107" s="18"/>
      <c r="D107" s="949" t="str">
        <f>EUconst_TotFreeAlloc</f>
        <v>Allocation totale finale à titre gratuit</v>
      </c>
      <c r="E107" s="950"/>
      <c r="F107" s="951"/>
      <c r="G107" s="212">
        <f aca="true" t="shared" si="34" ref="G107:N107">IF(COUNT(G89:G106)&gt;0,SUM(G89:G106),"")</f>
      </c>
      <c r="H107" s="212">
        <f t="shared" si="34"/>
      </c>
      <c r="I107" s="212">
        <f t="shared" si="34"/>
      </c>
      <c r="J107" s="212">
        <f t="shared" si="34"/>
      </c>
      <c r="K107" s="212">
        <f t="shared" si="34"/>
      </c>
      <c r="L107" s="212">
        <f t="shared" si="34"/>
      </c>
      <c r="M107" s="212">
        <f t="shared" si="34"/>
      </c>
      <c r="N107" s="212">
        <f t="shared" si="34"/>
      </c>
      <c r="O107" s="323"/>
      <c r="P107" s="9"/>
      <c r="Q107" s="441"/>
      <c r="R107" s="423"/>
      <c r="S107" s="423"/>
      <c r="T107" s="423"/>
      <c r="U107" s="423"/>
      <c r="V107" s="423"/>
      <c r="W107" s="423"/>
      <c r="X107" s="423"/>
      <c r="Y107" s="423"/>
      <c r="Z107" s="448" t="b">
        <f t="shared" si="32"/>
        <v>0</v>
      </c>
      <c r="AA107" s="423"/>
    </row>
    <row r="108" spans="1:27" s="522" customFormat="1" ht="12.75" customHeight="1">
      <c r="A108" s="4"/>
      <c r="B108" s="5"/>
      <c r="C108" s="7"/>
      <c r="D108" s="5"/>
      <c r="E108" s="5"/>
      <c r="F108" s="5"/>
      <c r="G108" s="5"/>
      <c r="H108" s="5"/>
      <c r="I108" s="5"/>
      <c r="J108" s="5"/>
      <c r="K108" s="5"/>
      <c r="L108" s="5"/>
      <c r="M108" s="9"/>
      <c r="N108" s="9"/>
      <c r="O108" s="315"/>
      <c r="P108" s="9"/>
      <c r="Q108" s="441"/>
      <c r="R108" s="423"/>
      <c r="S108" s="423"/>
      <c r="T108" s="423"/>
      <c r="U108" s="423"/>
      <c r="V108" s="423"/>
      <c r="W108" s="423"/>
      <c r="X108" s="423"/>
      <c r="Y108" s="423"/>
      <c r="Z108" s="423"/>
      <c r="AA108" s="423"/>
    </row>
    <row r="109" spans="1:27" s="522" customFormat="1" ht="12.75" customHeight="1">
      <c r="A109" s="4"/>
      <c r="B109" s="5"/>
      <c r="C109" s="5"/>
      <c r="D109" s="193" t="s">
        <v>246</v>
      </c>
      <c r="E109" s="743" t="str">
        <f>Translations!$B$1553</f>
        <v>Allocation finale la plus récente avec facteurs d’ajustement pour cessation partielle</v>
      </c>
      <c r="F109" s="742"/>
      <c r="G109" s="742"/>
      <c r="H109" s="742"/>
      <c r="I109" s="742"/>
      <c r="J109" s="742"/>
      <c r="K109" s="742"/>
      <c r="L109" s="742"/>
      <c r="M109" s="742"/>
      <c r="N109" s="742"/>
      <c r="O109" s="317"/>
      <c r="P109" s="378"/>
      <c r="Q109" s="441"/>
      <c r="R109" s="423"/>
      <c r="S109" s="423"/>
      <c r="T109" s="423"/>
      <c r="U109" s="423"/>
      <c r="V109" s="423"/>
      <c r="W109" s="423"/>
      <c r="X109" s="423"/>
      <c r="Y109" s="423"/>
      <c r="Z109" s="423"/>
      <c r="AA109" s="423"/>
    </row>
    <row r="110" spans="1:27" s="522" customFormat="1" ht="4.5" customHeight="1">
      <c r="A110" s="4"/>
      <c r="B110" s="5"/>
      <c r="C110" s="5"/>
      <c r="D110" s="5"/>
      <c r="E110" s="5"/>
      <c r="F110" s="5"/>
      <c r="G110" s="5"/>
      <c r="H110" s="5"/>
      <c r="I110" s="5"/>
      <c r="J110" s="5"/>
      <c r="K110" s="5"/>
      <c r="L110" s="5"/>
      <c r="M110" s="9"/>
      <c r="N110" s="9"/>
      <c r="O110" s="323"/>
      <c r="P110" s="9"/>
      <c r="Q110" s="441"/>
      <c r="R110" s="441"/>
      <c r="S110" s="441"/>
      <c r="T110" s="441"/>
      <c r="U110" s="441"/>
      <c r="V110" s="441"/>
      <c r="W110" s="441"/>
      <c r="X110" s="441"/>
      <c r="Y110" s="423"/>
      <c r="Z110" s="423"/>
      <c r="AA110" s="423"/>
    </row>
    <row r="111" spans="1:27" s="522" customFormat="1" ht="12.75" customHeight="1">
      <c r="A111" s="4"/>
      <c r="B111" s="5"/>
      <c r="C111" s="20"/>
      <c r="D111" s="857" t="str">
        <f>Translations!$B$440</f>
        <v>Sous-installation</v>
      </c>
      <c r="E111" s="896"/>
      <c r="F111" s="968"/>
      <c r="G111" s="211">
        <v>2013</v>
      </c>
      <c r="H111" s="211">
        <v>2014</v>
      </c>
      <c r="I111" s="211">
        <v>2015</v>
      </c>
      <c r="J111" s="211">
        <v>2016</v>
      </c>
      <c r="K111" s="211">
        <v>2017</v>
      </c>
      <c r="L111" s="211">
        <v>2018</v>
      </c>
      <c r="M111" s="211">
        <v>2019</v>
      </c>
      <c r="N111" s="211">
        <v>2020</v>
      </c>
      <c r="O111" s="323"/>
      <c r="P111" s="321"/>
      <c r="Q111" s="441"/>
      <c r="R111" s="423"/>
      <c r="S111" s="423"/>
      <c r="T111" s="423"/>
      <c r="U111" s="119" t="s">
        <v>539</v>
      </c>
      <c r="V111" s="119" t="s">
        <v>536</v>
      </c>
      <c r="W111" s="10" t="s">
        <v>540</v>
      </c>
      <c r="X111" s="441" t="s">
        <v>571</v>
      </c>
      <c r="Y111" s="441" t="str">
        <f>EUconst_Unit</f>
        <v>Unité</v>
      </c>
      <c r="Z111" s="447" t="s">
        <v>299</v>
      </c>
      <c r="AA111" s="423"/>
    </row>
    <row r="112" spans="1:27" s="522" customFormat="1" ht="12.75" customHeight="1" thickBot="1">
      <c r="A112" s="4"/>
      <c r="B112" s="5"/>
      <c r="C112" s="210">
        <v>0</v>
      </c>
      <c r="D112" s="946" t="str">
        <f>Translations!$B$1447</f>
        <v>Phase antérieure au début</v>
      </c>
      <c r="E112" s="947"/>
      <c r="F112" s="948"/>
      <c r="G112" s="514"/>
      <c r="H112" s="514"/>
      <c r="I112" s="514"/>
      <c r="J112" s="514"/>
      <c r="K112" s="514"/>
      <c r="L112" s="514"/>
      <c r="M112" s="514"/>
      <c r="N112" s="514"/>
      <c r="O112" s="323"/>
      <c r="P112" s="321"/>
      <c r="Q112" s="441"/>
      <c r="R112" s="423"/>
      <c r="S112" s="423"/>
      <c r="T112" s="423"/>
      <c r="U112" s="451">
        <f>""</f>
      </c>
      <c r="V112" s="451"/>
      <c r="W112" s="451"/>
      <c r="X112" s="451"/>
      <c r="Y112" s="451"/>
      <c r="Z112" s="448" t="b">
        <f>Z107</f>
        <v>0</v>
      </c>
      <c r="AA112" s="423"/>
    </row>
    <row r="113" spans="1:27" s="522" customFormat="1" ht="12.75" customHeight="1">
      <c r="A113" s="4"/>
      <c r="B113" s="5"/>
      <c r="C113" s="29">
        <v>1</v>
      </c>
      <c r="D113" s="956">
        <f aca="true" t="shared" si="35" ref="D113:D122">IF(D90="","",D90)</f>
      </c>
      <c r="E113" s="957"/>
      <c r="F113" s="958"/>
      <c r="G113" s="348"/>
      <c r="H113" s="348"/>
      <c r="I113" s="348"/>
      <c r="J113" s="348"/>
      <c r="K113" s="348"/>
      <c r="L113" s="348"/>
      <c r="M113" s="348"/>
      <c r="N113" s="348"/>
      <c r="O113" s="323"/>
      <c r="P113" s="321"/>
      <c r="Q113" s="441"/>
      <c r="R113" s="423"/>
      <c r="S113" s="423"/>
      <c r="T113" s="423"/>
      <c r="U113" s="451">
        <f aca="true" t="shared" si="36" ref="U113:U122">IF(D113="","",INDEX(EUconst_BMlistCLstatus,MATCH(D113,EUconst_BMlistNames,0)))</f>
      </c>
      <c r="V113" s="451">
        <f aca="true" t="shared" si="37" ref="V113:V122">IF(D113="","",INDEX(EUconst_BMlistNumberOfBM,MATCH(D113,EUconst_BMlistNames,0)))</f>
      </c>
      <c r="W113" s="451">
        <f aca="true" t="shared" si="38" ref="W113:W122">IF(D113="","",INDEX(EUconst_BMlistBMvalues,MATCH(D113,EUconst_BMlistNames,0)))</f>
      </c>
      <c r="X113" s="451">
        <f aca="true" t="shared" si="39" ref="X113:X128">IF(D113="","",EUconst_EUA&amp;" / "&amp;Y113)</f>
      </c>
      <c r="Y113" s="451">
        <f aca="true" t="shared" si="40" ref="Y113:Y122">IF(D113="","",INDEX(EUconst_BMlistUnits,MATCH(D113,EUconst_BMlistNames,0)))</f>
      </c>
      <c r="Z113" s="448" t="b">
        <f aca="true" t="shared" si="41" ref="Z113:Z130">Z112</f>
        <v>0</v>
      </c>
      <c r="AA113" s="423"/>
    </row>
    <row r="114" spans="1:27" s="522" customFormat="1" ht="12.75" customHeight="1">
      <c r="A114" s="4"/>
      <c r="B114" s="5"/>
      <c r="C114" s="29">
        <v>2</v>
      </c>
      <c r="D114" s="931">
        <f t="shared" si="35"/>
      </c>
      <c r="E114" s="932"/>
      <c r="F114" s="933"/>
      <c r="G114" s="347"/>
      <c r="H114" s="347"/>
      <c r="I114" s="347"/>
      <c r="J114" s="347"/>
      <c r="K114" s="347"/>
      <c r="L114" s="347"/>
      <c r="M114" s="347"/>
      <c r="N114" s="347"/>
      <c r="O114" s="323"/>
      <c r="P114" s="321"/>
      <c r="Q114" s="441"/>
      <c r="R114" s="423"/>
      <c r="S114" s="423"/>
      <c r="T114" s="423"/>
      <c r="U114" s="451">
        <f t="shared" si="36"/>
      </c>
      <c r="V114" s="451">
        <f t="shared" si="37"/>
      </c>
      <c r="W114" s="451">
        <f t="shared" si="38"/>
      </c>
      <c r="X114" s="451">
        <f t="shared" si="39"/>
      </c>
      <c r="Y114" s="451">
        <f t="shared" si="40"/>
      </c>
      <c r="Z114" s="448" t="b">
        <f t="shared" si="41"/>
        <v>0</v>
      </c>
      <c r="AA114" s="423"/>
    </row>
    <row r="115" spans="1:27" s="522" customFormat="1" ht="12.75" customHeight="1">
      <c r="A115" s="4"/>
      <c r="B115" s="5"/>
      <c r="C115" s="29">
        <v>3</v>
      </c>
      <c r="D115" s="931">
        <f t="shared" si="35"/>
      </c>
      <c r="E115" s="932"/>
      <c r="F115" s="933"/>
      <c r="G115" s="347"/>
      <c r="H115" s="347"/>
      <c r="I115" s="347"/>
      <c r="J115" s="347"/>
      <c r="K115" s="347"/>
      <c r="L115" s="347"/>
      <c r="M115" s="347"/>
      <c r="N115" s="347"/>
      <c r="O115" s="323"/>
      <c r="P115" s="321"/>
      <c r="Q115" s="441"/>
      <c r="R115" s="423"/>
      <c r="S115" s="423"/>
      <c r="T115" s="423"/>
      <c r="U115" s="451">
        <f t="shared" si="36"/>
      </c>
      <c r="V115" s="451">
        <f t="shared" si="37"/>
      </c>
      <c r="W115" s="451">
        <f t="shared" si="38"/>
      </c>
      <c r="X115" s="451">
        <f t="shared" si="39"/>
      </c>
      <c r="Y115" s="451">
        <f t="shared" si="40"/>
      </c>
      <c r="Z115" s="448" t="b">
        <f t="shared" si="41"/>
        <v>0</v>
      </c>
      <c r="AA115" s="423"/>
    </row>
    <row r="116" spans="1:27" s="522" customFormat="1" ht="12.75" customHeight="1">
      <c r="A116" s="4"/>
      <c r="B116" s="5"/>
      <c r="C116" s="29">
        <v>4</v>
      </c>
      <c r="D116" s="931">
        <f t="shared" si="35"/>
      </c>
      <c r="E116" s="932"/>
      <c r="F116" s="933"/>
      <c r="G116" s="347"/>
      <c r="H116" s="347"/>
      <c r="I116" s="347"/>
      <c r="J116" s="347"/>
      <c r="K116" s="347"/>
      <c r="L116" s="347"/>
      <c r="M116" s="347"/>
      <c r="N116" s="347"/>
      <c r="O116" s="323"/>
      <c r="P116" s="321"/>
      <c r="Q116" s="441"/>
      <c r="R116" s="423"/>
      <c r="S116" s="423"/>
      <c r="T116" s="423"/>
      <c r="U116" s="451">
        <f t="shared" si="36"/>
      </c>
      <c r="V116" s="451">
        <f t="shared" si="37"/>
      </c>
      <c r="W116" s="451">
        <f t="shared" si="38"/>
      </c>
      <c r="X116" s="451">
        <f t="shared" si="39"/>
      </c>
      <c r="Y116" s="451">
        <f t="shared" si="40"/>
      </c>
      <c r="Z116" s="448" t="b">
        <f t="shared" si="41"/>
        <v>0</v>
      </c>
      <c r="AA116" s="423"/>
    </row>
    <row r="117" spans="1:27" s="522" customFormat="1" ht="12.75" customHeight="1">
      <c r="A117" s="4"/>
      <c r="B117" s="5"/>
      <c r="C117" s="29">
        <v>5</v>
      </c>
      <c r="D117" s="931">
        <f t="shared" si="35"/>
      </c>
      <c r="E117" s="932"/>
      <c r="F117" s="933"/>
      <c r="G117" s="347"/>
      <c r="H117" s="347"/>
      <c r="I117" s="347"/>
      <c r="J117" s="347"/>
      <c r="K117" s="347"/>
      <c r="L117" s="347"/>
      <c r="M117" s="347"/>
      <c r="N117" s="347"/>
      <c r="O117" s="323"/>
      <c r="P117" s="321"/>
      <c r="Q117" s="441"/>
      <c r="R117" s="423"/>
      <c r="S117" s="423"/>
      <c r="T117" s="423"/>
      <c r="U117" s="451">
        <f t="shared" si="36"/>
      </c>
      <c r="V117" s="451">
        <f t="shared" si="37"/>
      </c>
      <c r="W117" s="451">
        <f t="shared" si="38"/>
      </c>
      <c r="X117" s="451">
        <f t="shared" si="39"/>
      </c>
      <c r="Y117" s="451">
        <f t="shared" si="40"/>
      </c>
      <c r="Z117" s="448" t="b">
        <f t="shared" si="41"/>
        <v>0</v>
      </c>
      <c r="AA117" s="423"/>
    </row>
    <row r="118" spans="1:27" s="522" customFormat="1" ht="12.75" customHeight="1">
      <c r="A118" s="4"/>
      <c r="B118" s="5"/>
      <c r="C118" s="29">
        <v>6</v>
      </c>
      <c r="D118" s="931">
        <f t="shared" si="35"/>
      </c>
      <c r="E118" s="932"/>
      <c r="F118" s="933"/>
      <c r="G118" s="347"/>
      <c r="H118" s="347"/>
      <c r="I118" s="347"/>
      <c r="J118" s="347"/>
      <c r="K118" s="347"/>
      <c r="L118" s="347"/>
      <c r="M118" s="347"/>
      <c r="N118" s="347"/>
      <c r="O118" s="323"/>
      <c r="P118" s="9"/>
      <c r="Q118" s="441"/>
      <c r="R118" s="423"/>
      <c r="S118" s="423"/>
      <c r="T118" s="423"/>
      <c r="U118" s="451">
        <f t="shared" si="36"/>
      </c>
      <c r="V118" s="451">
        <f t="shared" si="37"/>
      </c>
      <c r="W118" s="451">
        <f t="shared" si="38"/>
      </c>
      <c r="X118" s="451">
        <f t="shared" si="39"/>
      </c>
      <c r="Y118" s="451">
        <f t="shared" si="40"/>
      </c>
      <c r="Z118" s="448" t="b">
        <f t="shared" si="41"/>
        <v>0</v>
      </c>
      <c r="AA118" s="423"/>
    </row>
    <row r="119" spans="1:27" s="522" customFormat="1" ht="12.75" customHeight="1">
      <c r="A119" s="4"/>
      <c r="B119" s="5"/>
      <c r="C119" s="29">
        <v>7</v>
      </c>
      <c r="D119" s="931">
        <f t="shared" si="35"/>
      </c>
      <c r="E119" s="932"/>
      <c r="F119" s="933"/>
      <c r="G119" s="347"/>
      <c r="H119" s="347"/>
      <c r="I119" s="347"/>
      <c r="J119" s="347"/>
      <c r="K119" s="347"/>
      <c r="L119" s="347"/>
      <c r="M119" s="347"/>
      <c r="N119" s="347"/>
      <c r="O119" s="323"/>
      <c r="P119" s="9"/>
      <c r="Q119" s="441"/>
      <c r="R119" s="423"/>
      <c r="S119" s="423"/>
      <c r="T119" s="423"/>
      <c r="U119" s="451">
        <f t="shared" si="36"/>
      </c>
      <c r="V119" s="451">
        <f t="shared" si="37"/>
      </c>
      <c r="W119" s="451">
        <f t="shared" si="38"/>
      </c>
      <c r="X119" s="451">
        <f t="shared" si="39"/>
      </c>
      <c r="Y119" s="451">
        <f t="shared" si="40"/>
      </c>
      <c r="Z119" s="448" t="b">
        <f t="shared" si="41"/>
        <v>0</v>
      </c>
      <c r="AA119" s="423"/>
    </row>
    <row r="120" spans="1:27" s="522" customFormat="1" ht="12.75" customHeight="1">
      <c r="A120" s="4"/>
      <c r="B120" s="5"/>
      <c r="C120" s="29">
        <v>8</v>
      </c>
      <c r="D120" s="931">
        <f t="shared" si="35"/>
      </c>
      <c r="E120" s="932"/>
      <c r="F120" s="933"/>
      <c r="G120" s="347"/>
      <c r="H120" s="347"/>
      <c r="I120" s="347"/>
      <c r="J120" s="347"/>
      <c r="K120" s="347"/>
      <c r="L120" s="347"/>
      <c r="M120" s="347"/>
      <c r="N120" s="347"/>
      <c r="O120" s="323"/>
      <c r="P120" s="9"/>
      <c r="Q120" s="441"/>
      <c r="R120" s="423"/>
      <c r="S120" s="423"/>
      <c r="T120" s="423"/>
      <c r="U120" s="451">
        <f t="shared" si="36"/>
      </c>
      <c r="V120" s="451">
        <f t="shared" si="37"/>
      </c>
      <c r="W120" s="451">
        <f t="shared" si="38"/>
      </c>
      <c r="X120" s="451">
        <f t="shared" si="39"/>
      </c>
      <c r="Y120" s="451">
        <f t="shared" si="40"/>
      </c>
      <c r="Z120" s="448" t="b">
        <f t="shared" si="41"/>
        <v>0</v>
      </c>
      <c r="AA120" s="423"/>
    </row>
    <row r="121" spans="1:27" s="522" customFormat="1" ht="12.75" customHeight="1">
      <c r="A121" s="4"/>
      <c r="B121" s="5"/>
      <c r="C121" s="29">
        <v>9</v>
      </c>
      <c r="D121" s="931">
        <f t="shared" si="35"/>
      </c>
      <c r="E121" s="932"/>
      <c r="F121" s="933"/>
      <c r="G121" s="347"/>
      <c r="H121" s="347"/>
      <c r="I121" s="347"/>
      <c r="J121" s="347"/>
      <c r="K121" s="347"/>
      <c r="L121" s="347"/>
      <c r="M121" s="347"/>
      <c r="N121" s="347"/>
      <c r="O121" s="323"/>
      <c r="P121" s="9"/>
      <c r="Q121" s="441"/>
      <c r="R121" s="423"/>
      <c r="S121" s="423"/>
      <c r="T121" s="423"/>
      <c r="U121" s="451">
        <f t="shared" si="36"/>
      </c>
      <c r="V121" s="451">
        <f t="shared" si="37"/>
      </c>
      <c r="W121" s="451">
        <f t="shared" si="38"/>
      </c>
      <c r="X121" s="451">
        <f t="shared" si="39"/>
      </c>
      <c r="Y121" s="451">
        <f t="shared" si="40"/>
      </c>
      <c r="Z121" s="448" t="b">
        <f t="shared" si="41"/>
        <v>0</v>
      </c>
      <c r="AA121" s="423"/>
    </row>
    <row r="122" spans="1:27" s="522" customFormat="1" ht="12.75" customHeight="1">
      <c r="A122" s="4"/>
      <c r="B122" s="5"/>
      <c r="C122" s="25">
        <v>10</v>
      </c>
      <c r="D122" s="962">
        <f t="shared" si="35"/>
      </c>
      <c r="E122" s="963"/>
      <c r="F122" s="964"/>
      <c r="G122" s="187"/>
      <c r="H122" s="187"/>
      <c r="I122" s="187"/>
      <c r="J122" s="187"/>
      <c r="K122" s="187"/>
      <c r="L122" s="187"/>
      <c r="M122" s="187"/>
      <c r="N122" s="187"/>
      <c r="O122" s="323"/>
      <c r="P122" s="9"/>
      <c r="Q122" s="441"/>
      <c r="R122" s="423"/>
      <c r="S122" s="423"/>
      <c r="T122" s="423"/>
      <c r="U122" s="451">
        <f t="shared" si="36"/>
      </c>
      <c r="V122" s="451">
        <f t="shared" si="37"/>
      </c>
      <c r="W122" s="451">
        <f t="shared" si="38"/>
      </c>
      <c r="X122" s="451">
        <f t="shared" si="39"/>
      </c>
      <c r="Y122" s="451">
        <f t="shared" si="40"/>
      </c>
      <c r="Z122" s="448" t="b">
        <f t="shared" si="41"/>
        <v>0</v>
      </c>
      <c r="AA122" s="423"/>
    </row>
    <row r="123" spans="1:27" s="522" customFormat="1" ht="38.25" customHeight="1">
      <c r="A123" s="4"/>
      <c r="B123" s="5"/>
      <c r="C123" s="29">
        <v>11</v>
      </c>
      <c r="D123" s="937" t="str">
        <f aca="true" t="shared" si="42" ref="D123:D128">INDEX(EUconst_FallBackListNames,C123-10)</f>
        <v>Sous-installation avec référentiel de chaleur, CL (risque de fuite de carbone)</v>
      </c>
      <c r="E123" s="938"/>
      <c r="F123" s="939"/>
      <c r="G123" s="348"/>
      <c r="H123" s="348"/>
      <c r="I123" s="348"/>
      <c r="J123" s="348"/>
      <c r="K123" s="348"/>
      <c r="L123" s="348"/>
      <c r="M123" s="348"/>
      <c r="N123" s="348"/>
      <c r="O123" s="323"/>
      <c r="P123" s="9"/>
      <c r="Q123" s="441"/>
      <c r="R123" s="423"/>
      <c r="S123" s="423"/>
      <c r="T123" s="423"/>
      <c r="U123" s="451" t="b">
        <v>1</v>
      </c>
      <c r="V123" s="451">
        <f>EUwideConstants!$C$304</f>
        <v>91</v>
      </c>
      <c r="W123" s="451">
        <f>EUwideConstants!$H$304</f>
        <v>62.3</v>
      </c>
      <c r="X123" s="451" t="str">
        <f t="shared" si="39"/>
        <v>EUA / TJ</v>
      </c>
      <c r="Y123" s="451" t="str">
        <f>EUconst_TJ</f>
        <v>TJ</v>
      </c>
      <c r="Z123" s="448" t="b">
        <f t="shared" si="41"/>
        <v>0</v>
      </c>
      <c r="AA123" s="423"/>
    </row>
    <row r="124" spans="1:27" s="522" customFormat="1" ht="38.25" customHeight="1">
      <c r="A124" s="4"/>
      <c r="B124" s="5"/>
      <c r="C124" s="29">
        <v>12</v>
      </c>
      <c r="D124" s="940" t="str">
        <f t="shared" si="42"/>
        <v>Sous-installation avec référentiel de chaleur, non-CL (sans risque de fuite de carbone)</v>
      </c>
      <c r="E124" s="941"/>
      <c r="F124" s="942"/>
      <c r="G124" s="347"/>
      <c r="H124" s="347"/>
      <c r="I124" s="347"/>
      <c r="J124" s="347"/>
      <c r="K124" s="347"/>
      <c r="L124" s="347"/>
      <c r="M124" s="347"/>
      <c r="N124" s="347"/>
      <c r="O124" s="323"/>
      <c r="P124" s="9"/>
      <c r="Q124" s="441"/>
      <c r="R124" s="423"/>
      <c r="S124" s="423"/>
      <c r="T124" s="423"/>
      <c r="U124" s="451" t="b">
        <v>0</v>
      </c>
      <c r="V124" s="451">
        <f>EUwideConstants!$C$305</f>
        <v>92</v>
      </c>
      <c r="W124" s="451">
        <f>EUwideConstants!$H$305</f>
        <v>62.3</v>
      </c>
      <c r="X124" s="451" t="str">
        <f t="shared" si="39"/>
        <v>EUA / TJ</v>
      </c>
      <c r="Y124" s="451" t="str">
        <f>EUconst_TJ</f>
        <v>TJ</v>
      </c>
      <c r="Z124" s="448" t="b">
        <f t="shared" si="41"/>
        <v>0</v>
      </c>
      <c r="AA124" s="423"/>
    </row>
    <row r="125" spans="1:27" s="522" customFormat="1" ht="25.5" customHeight="1">
      <c r="A125" s="4"/>
      <c r="B125" s="5"/>
      <c r="C125" s="29">
        <v>13</v>
      </c>
      <c r="D125" s="940" t="str">
        <f t="shared" si="42"/>
        <v>Sous-installation avec référentiel de combustibles, CL</v>
      </c>
      <c r="E125" s="941"/>
      <c r="F125" s="942"/>
      <c r="G125" s="347"/>
      <c r="H125" s="347"/>
      <c r="I125" s="347"/>
      <c r="J125" s="347"/>
      <c r="K125" s="347"/>
      <c r="L125" s="347"/>
      <c r="M125" s="347"/>
      <c r="N125" s="347"/>
      <c r="O125" s="323"/>
      <c r="P125" s="9"/>
      <c r="Q125" s="441"/>
      <c r="R125" s="423"/>
      <c r="S125" s="423"/>
      <c r="T125" s="423"/>
      <c r="U125" s="451" t="b">
        <v>1</v>
      </c>
      <c r="V125" s="451">
        <f>EUwideConstants!$C$306</f>
        <v>93</v>
      </c>
      <c r="W125" s="451">
        <f>EUwideConstants!$H$306</f>
        <v>56.1</v>
      </c>
      <c r="X125" s="451" t="str">
        <f t="shared" si="39"/>
        <v>EUA / TJ</v>
      </c>
      <c r="Y125" s="451" t="str">
        <f>EUconst_TJ</f>
        <v>TJ</v>
      </c>
      <c r="Z125" s="448" t="b">
        <f t="shared" si="41"/>
        <v>0</v>
      </c>
      <c r="AA125" s="423"/>
    </row>
    <row r="126" spans="1:27" s="522" customFormat="1" ht="25.5" customHeight="1">
      <c r="A126" s="4"/>
      <c r="B126" s="5"/>
      <c r="C126" s="29">
        <v>14</v>
      </c>
      <c r="D126" s="940" t="str">
        <f t="shared" si="42"/>
        <v>Sous-installation avec référentiel de combustibles, non-CL</v>
      </c>
      <c r="E126" s="941"/>
      <c r="F126" s="942"/>
      <c r="G126" s="347"/>
      <c r="H126" s="347"/>
      <c r="I126" s="347"/>
      <c r="J126" s="347"/>
      <c r="K126" s="347"/>
      <c r="L126" s="347"/>
      <c r="M126" s="347"/>
      <c r="N126" s="347"/>
      <c r="O126" s="323"/>
      <c r="P126" s="9"/>
      <c r="Q126" s="441"/>
      <c r="R126" s="423"/>
      <c r="S126" s="423"/>
      <c r="T126" s="423"/>
      <c r="U126" s="451" t="b">
        <v>0</v>
      </c>
      <c r="V126" s="451">
        <f>EUwideConstants!$C$307</f>
        <v>94</v>
      </c>
      <c r="W126" s="451">
        <f>EUwideConstants!$H$307</f>
        <v>56.1</v>
      </c>
      <c r="X126" s="451" t="str">
        <f t="shared" si="39"/>
        <v>EUA / TJ</v>
      </c>
      <c r="Y126" s="451" t="str">
        <f>EUconst_TJ</f>
        <v>TJ</v>
      </c>
      <c r="Z126" s="448" t="b">
        <f t="shared" si="41"/>
        <v>0</v>
      </c>
      <c r="AA126" s="423"/>
    </row>
    <row r="127" spans="1:27" s="522" customFormat="1" ht="25.5" customHeight="1">
      <c r="A127" s="4"/>
      <c r="B127" s="5"/>
      <c r="C127" s="29">
        <v>15</v>
      </c>
      <c r="D127" s="940" t="str">
        <f t="shared" si="42"/>
        <v>Sous-installation avec émissions de procédé, CL</v>
      </c>
      <c r="E127" s="941"/>
      <c r="F127" s="942"/>
      <c r="G127" s="347"/>
      <c r="H127" s="347"/>
      <c r="I127" s="347"/>
      <c r="J127" s="347"/>
      <c r="K127" s="347"/>
      <c r="L127" s="347"/>
      <c r="M127" s="347"/>
      <c r="N127" s="347"/>
      <c r="O127" s="323"/>
      <c r="P127" s="9"/>
      <c r="Q127" s="441"/>
      <c r="R127" s="423"/>
      <c r="S127" s="423"/>
      <c r="T127" s="423"/>
      <c r="U127" s="451" t="b">
        <v>1</v>
      </c>
      <c r="V127" s="451">
        <f>EUwideConstants!$C$308</f>
        <v>95</v>
      </c>
      <c r="W127" s="451">
        <f>EUwideConstants!$H$308</f>
        <v>0.97</v>
      </c>
      <c r="X127" s="451" t="str">
        <f t="shared" si="39"/>
        <v>EUA / t CO2e</v>
      </c>
      <c r="Y127" s="451" t="str">
        <f>EUconst_tCO2e</f>
        <v>t CO2e</v>
      </c>
      <c r="Z127" s="448" t="b">
        <f t="shared" si="41"/>
        <v>0</v>
      </c>
      <c r="AA127" s="423"/>
    </row>
    <row r="128" spans="1:27" s="522" customFormat="1" ht="25.5" customHeight="1">
      <c r="A128" s="4"/>
      <c r="B128" s="5"/>
      <c r="C128" s="29">
        <v>16</v>
      </c>
      <c r="D128" s="934" t="str">
        <f t="shared" si="42"/>
        <v>Sous-installation avec émissions de procédé, non-CL</v>
      </c>
      <c r="E128" s="935"/>
      <c r="F128" s="936"/>
      <c r="G128" s="373"/>
      <c r="H128" s="373"/>
      <c r="I128" s="373"/>
      <c r="J128" s="373"/>
      <c r="K128" s="373"/>
      <c r="L128" s="373"/>
      <c r="M128" s="373"/>
      <c r="N128" s="373"/>
      <c r="O128" s="323"/>
      <c r="P128" s="9"/>
      <c r="Q128" s="441"/>
      <c r="R128" s="423"/>
      <c r="S128" s="423"/>
      <c r="T128" s="423"/>
      <c r="U128" s="451" t="b">
        <v>0</v>
      </c>
      <c r="V128" s="451">
        <f>EUwideConstants!$C$309</f>
        <v>96</v>
      </c>
      <c r="W128" s="451">
        <f>EUwideConstants!$H$309</f>
        <v>0.97</v>
      </c>
      <c r="X128" s="451" t="str">
        <f t="shared" si="39"/>
        <v>EUA / t CO2e</v>
      </c>
      <c r="Y128" s="451" t="str">
        <f>EUconst_tCO2e</f>
        <v>t CO2e</v>
      </c>
      <c r="Z128" s="448" t="b">
        <f t="shared" si="41"/>
        <v>0</v>
      </c>
      <c r="AA128" s="423"/>
    </row>
    <row r="129" spans="1:27" s="522" customFormat="1" ht="12.75" customHeight="1" thickBot="1">
      <c r="A129" s="4"/>
      <c r="B129" s="5"/>
      <c r="C129" s="413">
        <v>17</v>
      </c>
      <c r="D129" s="943" t="str">
        <f>EUconst_PrivateHouseholds</f>
        <v>Ménages privés</v>
      </c>
      <c r="E129" s="944"/>
      <c r="F129" s="945"/>
      <c r="G129" s="415"/>
      <c r="H129" s="415"/>
      <c r="I129" s="415"/>
      <c r="J129" s="415"/>
      <c r="K129" s="415"/>
      <c r="L129" s="415"/>
      <c r="M129" s="415"/>
      <c r="N129" s="415"/>
      <c r="O129" s="323"/>
      <c r="P129" s="9"/>
      <c r="Q129" s="441"/>
      <c r="R129" s="423"/>
      <c r="S129" s="423"/>
      <c r="T129" s="423"/>
      <c r="U129" s="451">
        <f>""</f>
      </c>
      <c r="V129" s="451"/>
      <c r="W129" s="451"/>
      <c r="X129" s="451"/>
      <c r="Y129" s="451"/>
      <c r="Z129" s="448" t="b">
        <f t="shared" si="41"/>
        <v>0</v>
      </c>
      <c r="AA129" s="423"/>
    </row>
    <row r="130" spans="1:27" s="522" customFormat="1" ht="12.75" customHeight="1">
      <c r="A130" s="4"/>
      <c r="B130" s="5"/>
      <c r="C130" s="18"/>
      <c r="D130" s="949" t="str">
        <f>EUconst_TotFreeAlloc</f>
        <v>Allocation totale finale à titre gratuit</v>
      </c>
      <c r="E130" s="950"/>
      <c r="F130" s="951"/>
      <c r="G130" s="212">
        <f aca="true" t="shared" si="43" ref="G130:N130">IF(COUNT(G112:G129)&gt;0,SUM(G112:G129),"")</f>
      </c>
      <c r="H130" s="212">
        <f t="shared" si="43"/>
      </c>
      <c r="I130" s="212">
        <f t="shared" si="43"/>
      </c>
      <c r="J130" s="212">
        <f t="shared" si="43"/>
      </c>
      <c r="K130" s="212">
        <f t="shared" si="43"/>
      </c>
      <c r="L130" s="212">
        <f t="shared" si="43"/>
      </c>
      <c r="M130" s="212">
        <f t="shared" si="43"/>
      </c>
      <c r="N130" s="212">
        <f t="shared" si="43"/>
      </c>
      <c r="O130" s="323"/>
      <c r="P130" s="9"/>
      <c r="Q130" s="441"/>
      <c r="R130" s="441"/>
      <c r="S130" s="441"/>
      <c r="T130" s="441"/>
      <c r="U130" s="441"/>
      <c r="V130" s="441"/>
      <c r="W130" s="441"/>
      <c r="X130" s="441"/>
      <c r="Y130" s="423"/>
      <c r="Z130" s="448" t="b">
        <f t="shared" si="41"/>
        <v>0</v>
      </c>
      <c r="AA130" s="423"/>
    </row>
    <row r="131" spans="1:27" s="522" customFormat="1" ht="12.75" customHeight="1">
      <c r="A131" s="4"/>
      <c r="B131" s="5"/>
      <c r="C131" s="5"/>
      <c r="D131" s="5"/>
      <c r="E131" s="5"/>
      <c r="F131" s="5"/>
      <c r="G131" s="5"/>
      <c r="H131" s="5"/>
      <c r="I131" s="5"/>
      <c r="J131" s="5"/>
      <c r="K131" s="5"/>
      <c r="L131" s="5"/>
      <c r="M131" s="9"/>
      <c r="N131" s="9"/>
      <c r="O131" s="323"/>
      <c r="P131" s="9"/>
      <c r="Q131" s="441"/>
      <c r="R131" s="441"/>
      <c r="S131" s="441"/>
      <c r="T131" s="441"/>
      <c r="U131" s="441"/>
      <c r="V131" s="441"/>
      <c r="W131" s="441"/>
      <c r="X131" s="441"/>
      <c r="Y131" s="441"/>
      <c r="Z131" s="441"/>
      <c r="AA131" s="423"/>
    </row>
    <row r="132" spans="1:27" s="522" customFormat="1" ht="12.75" customHeight="1">
      <c r="A132" s="4"/>
      <c r="B132" s="5"/>
      <c r="C132" s="5"/>
      <c r="D132" s="494" t="s">
        <v>459</v>
      </c>
      <c r="E132" s="743" t="str">
        <f>Translations!$B$1555</f>
        <v>Capacité installée initiale et niveau d’activité annuel initial</v>
      </c>
      <c r="F132" s="742"/>
      <c r="G132" s="742"/>
      <c r="H132" s="742"/>
      <c r="I132" s="742"/>
      <c r="J132" s="742"/>
      <c r="K132" s="742"/>
      <c r="L132" s="742"/>
      <c r="M132" s="742"/>
      <c r="N132" s="742"/>
      <c r="O132" s="317"/>
      <c r="P132" s="378"/>
      <c r="Q132" s="441"/>
      <c r="R132" s="423"/>
      <c r="S132" s="423"/>
      <c r="T132" s="423"/>
      <c r="U132" s="423"/>
      <c r="V132" s="423"/>
      <c r="W132" s="423"/>
      <c r="X132" s="423"/>
      <c r="Y132" s="423"/>
      <c r="Z132" s="423"/>
      <c r="AA132" s="423"/>
    </row>
    <row r="133" spans="1:27" s="522" customFormat="1" ht="4.5" customHeight="1">
      <c r="A133" s="4"/>
      <c r="B133" s="5"/>
      <c r="C133" s="5"/>
      <c r="D133" s="193"/>
      <c r="E133" s="796"/>
      <c r="F133" s="721"/>
      <c r="G133" s="721"/>
      <c r="H133" s="721"/>
      <c r="I133" s="721"/>
      <c r="J133" s="721"/>
      <c r="K133" s="721"/>
      <c r="L133" s="721"/>
      <c r="M133" s="721"/>
      <c r="N133" s="721"/>
      <c r="O133" s="317"/>
      <c r="P133" s="323"/>
      <c r="Q133" s="441"/>
      <c r="R133" s="423"/>
      <c r="S133" s="423"/>
      <c r="T133" s="423"/>
      <c r="U133" s="423"/>
      <c r="V133" s="423"/>
      <c r="W133" s="423"/>
      <c r="X133" s="423"/>
      <c r="Y133" s="423"/>
      <c r="Z133" s="423"/>
      <c r="AA133" s="423"/>
    </row>
    <row r="134" spans="1:27" s="526" customFormat="1" ht="38.25" customHeight="1" thickBot="1">
      <c r="A134" s="396"/>
      <c r="B134" s="372"/>
      <c r="C134" s="397"/>
      <c r="D134" s="965" t="str">
        <f>Translations!$B$440</f>
        <v>Sous-installation</v>
      </c>
      <c r="E134" s="966"/>
      <c r="F134" s="966"/>
      <c r="G134" s="967"/>
      <c r="H134" s="66" t="str">
        <f>EUconst_Unit</f>
        <v>Unité</v>
      </c>
      <c r="I134" s="66" t="str">
        <f>Translations!$B$1030</f>
        <v>Capacité installée initiale</v>
      </c>
      <c r="J134" s="398" t="str">
        <f>Translations!$B$1187</f>
        <v>Niveau d'activité annuel initial </v>
      </c>
      <c r="K134" s="390" t="str">
        <f>Translations!$B$1103</f>
        <v>message d'erreur</v>
      </c>
      <c r="L134" s="323"/>
      <c r="M134" s="323"/>
      <c r="N134" s="323"/>
      <c r="O134" s="399"/>
      <c r="P134" s="400"/>
      <c r="Q134" s="455"/>
      <c r="R134" s="455"/>
      <c r="S134" s="455"/>
      <c r="T134" s="455"/>
      <c r="U134" s="455"/>
      <c r="V134" s="449" t="s">
        <v>548</v>
      </c>
      <c r="W134" s="455"/>
      <c r="X134" s="455"/>
      <c r="Y134" s="455"/>
      <c r="Z134" s="455"/>
      <c r="AA134" s="456"/>
    </row>
    <row r="135" spans="1:27" s="522" customFormat="1" ht="12.75" customHeight="1">
      <c r="A135" s="4"/>
      <c r="B135" s="5"/>
      <c r="C135" s="29">
        <v>1</v>
      </c>
      <c r="D135" s="959">
        <f aca="true" t="shared" si="44" ref="D135:D144">IF(D90="","",D90)</f>
      </c>
      <c r="E135" s="960"/>
      <c r="F135" s="960"/>
      <c r="G135" s="961"/>
      <c r="H135" s="65">
        <f aca="true" t="shared" si="45" ref="H135:H144">IF(D135&lt;&gt;"",INDEX(EUconst_BMlistUnits,MATCH($D135,EUconst_BMlistNames,0))&amp;" / "&amp;EUconst_Year,"")</f>
      </c>
      <c r="I135" s="530"/>
      <c r="J135" s="530"/>
      <c r="K135" s="401">
        <f aca="true" t="shared" si="46" ref="K135:K144">IF(D135="","",IF(COUNT(I135:J135)&lt;2,EUconst_Incomplete,""))</f>
      </c>
      <c r="L135" s="323"/>
      <c r="M135" s="323"/>
      <c r="N135" s="323"/>
      <c r="O135" s="323"/>
      <c r="P135" s="321"/>
      <c r="Q135" s="451" t="str">
        <f aca="true" t="shared" si="47" ref="Q135:Q150">EUconst_CNTR_CAPINI&amp;$V135&amp;"_"&amp;$D135</f>
        <v>CAPINI_2_</v>
      </c>
      <c r="R135" s="451" t="str">
        <f aca="true" t="shared" si="48" ref="R135:R150">EUconst_CNTR_HAL&amp;$V135&amp;"_"&amp;$D135</f>
        <v>HAL_2_</v>
      </c>
      <c r="S135" s="451" t="str">
        <f aca="true" t="shared" si="49" ref="S135:S144">EUconst_CNTR_HAL&amp;$V135&amp;"_"&amp;$C135</f>
        <v>HAL_2_1</v>
      </c>
      <c r="T135" s="441"/>
      <c r="U135" s="441"/>
      <c r="V135" s="452">
        <f>V106</f>
        <v>2</v>
      </c>
      <c r="W135" s="441"/>
      <c r="X135" s="441"/>
      <c r="Y135" s="451">
        <f>M84</f>
      </c>
      <c r="Z135" s="448" t="b">
        <f>AND(Y135&lt;&gt;"",D90="")</f>
        <v>0</v>
      </c>
      <c r="AA135" s="423"/>
    </row>
    <row r="136" spans="1:27" s="522" customFormat="1" ht="12.75" customHeight="1">
      <c r="A136" s="4"/>
      <c r="B136" s="5"/>
      <c r="C136" s="29">
        <v>2</v>
      </c>
      <c r="D136" s="931">
        <f t="shared" si="44"/>
      </c>
      <c r="E136" s="932"/>
      <c r="F136" s="932"/>
      <c r="G136" s="933"/>
      <c r="H136" s="64">
        <f t="shared" si="45"/>
      </c>
      <c r="I136" s="531"/>
      <c r="J136" s="531"/>
      <c r="K136" s="402">
        <f t="shared" si="46"/>
      </c>
      <c r="L136" s="323"/>
      <c r="M136" s="323"/>
      <c r="N136" s="323"/>
      <c r="O136" s="323"/>
      <c r="P136" s="321"/>
      <c r="Q136" s="451" t="str">
        <f t="shared" si="47"/>
        <v>CAPINI_2_</v>
      </c>
      <c r="R136" s="451" t="str">
        <f t="shared" si="48"/>
        <v>HAL_2_</v>
      </c>
      <c r="S136" s="451" t="str">
        <f t="shared" si="49"/>
        <v>HAL_2_2</v>
      </c>
      <c r="T136" s="441"/>
      <c r="U136" s="441"/>
      <c r="V136" s="453">
        <f aca="true" t="shared" si="50" ref="V136:V150">V135</f>
        <v>2</v>
      </c>
      <c r="W136" s="441"/>
      <c r="X136" s="441"/>
      <c r="Y136" s="451">
        <f>Y135</f>
      </c>
      <c r="Z136" s="448" t="b">
        <f aca="true" t="shared" si="51" ref="Z136:Z144">AND(Y136&lt;&gt;"",D91="")</f>
        <v>0</v>
      </c>
      <c r="AA136" s="423"/>
    </row>
    <row r="137" spans="1:27" s="522" customFormat="1" ht="12.75" customHeight="1">
      <c r="A137" s="4"/>
      <c r="B137" s="5"/>
      <c r="C137" s="29">
        <v>3</v>
      </c>
      <c r="D137" s="931">
        <f t="shared" si="44"/>
      </c>
      <c r="E137" s="932"/>
      <c r="F137" s="932"/>
      <c r="G137" s="933"/>
      <c r="H137" s="64">
        <f t="shared" si="45"/>
      </c>
      <c r="I137" s="531"/>
      <c r="J137" s="531"/>
      <c r="K137" s="402">
        <f t="shared" si="46"/>
      </c>
      <c r="L137" s="323"/>
      <c r="M137" s="323"/>
      <c r="N137" s="323"/>
      <c r="O137" s="323"/>
      <c r="P137" s="321"/>
      <c r="Q137" s="451" t="str">
        <f t="shared" si="47"/>
        <v>CAPINI_2_</v>
      </c>
      <c r="R137" s="451" t="str">
        <f t="shared" si="48"/>
        <v>HAL_2_</v>
      </c>
      <c r="S137" s="451" t="str">
        <f t="shared" si="49"/>
        <v>HAL_2_3</v>
      </c>
      <c r="T137" s="441"/>
      <c r="U137" s="441"/>
      <c r="V137" s="453">
        <f t="shared" si="50"/>
        <v>2</v>
      </c>
      <c r="W137" s="441"/>
      <c r="X137" s="441"/>
      <c r="Y137" s="451">
        <f aca="true" t="shared" si="52" ref="Y137:Y150">Y136</f>
      </c>
      <c r="Z137" s="448" t="b">
        <f t="shared" si="51"/>
        <v>0</v>
      </c>
      <c r="AA137" s="423"/>
    </row>
    <row r="138" spans="1:27" s="522" customFormat="1" ht="12.75" customHeight="1">
      <c r="A138" s="4"/>
      <c r="B138" s="5"/>
      <c r="C138" s="29">
        <v>4</v>
      </c>
      <c r="D138" s="931">
        <f t="shared" si="44"/>
      </c>
      <c r="E138" s="932"/>
      <c r="F138" s="932"/>
      <c r="G138" s="933"/>
      <c r="H138" s="64">
        <f t="shared" si="45"/>
      </c>
      <c r="I138" s="531"/>
      <c r="J138" s="531"/>
      <c r="K138" s="402">
        <f t="shared" si="46"/>
      </c>
      <c r="L138" s="323"/>
      <c r="M138" s="323"/>
      <c r="N138" s="323"/>
      <c r="O138" s="323"/>
      <c r="P138" s="321"/>
      <c r="Q138" s="451" t="str">
        <f t="shared" si="47"/>
        <v>CAPINI_2_</v>
      </c>
      <c r="R138" s="451" t="str">
        <f t="shared" si="48"/>
        <v>HAL_2_</v>
      </c>
      <c r="S138" s="451" t="str">
        <f t="shared" si="49"/>
        <v>HAL_2_4</v>
      </c>
      <c r="T138" s="441"/>
      <c r="U138" s="441"/>
      <c r="V138" s="453">
        <f t="shared" si="50"/>
        <v>2</v>
      </c>
      <c r="W138" s="441"/>
      <c r="X138" s="441"/>
      <c r="Y138" s="451">
        <f t="shared" si="52"/>
      </c>
      <c r="Z138" s="448" t="b">
        <f t="shared" si="51"/>
        <v>0</v>
      </c>
      <c r="AA138" s="423"/>
    </row>
    <row r="139" spans="1:27" s="522" customFormat="1" ht="12.75" customHeight="1">
      <c r="A139" s="4"/>
      <c r="B139" s="5"/>
      <c r="C139" s="29">
        <v>5</v>
      </c>
      <c r="D139" s="931">
        <f t="shared" si="44"/>
      </c>
      <c r="E139" s="932"/>
      <c r="F139" s="932"/>
      <c r="G139" s="933"/>
      <c r="H139" s="64">
        <f t="shared" si="45"/>
      </c>
      <c r="I139" s="531"/>
      <c r="J139" s="531"/>
      <c r="K139" s="402">
        <f t="shared" si="46"/>
      </c>
      <c r="L139" s="323"/>
      <c r="M139" s="323"/>
      <c r="N139" s="378"/>
      <c r="O139" s="323"/>
      <c r="P139" s="321"/>
      <c r="Q139" s="451" t="str">
        <f t="shared" si="47"/>
        <v>CAPINI_2_</v>
      </c>
      <c r="R139" s="451" t="str">
        <f t="shared" si="48"/>
        <v>HAL_2_</v>
      </c>
      <c r="S139" s="451" t="str">
        <f t="shared" si="49"/>
        <v>HAL_2_5</v>
      </c>
      <c r="T139" s="441"/>
      <c r="U139" s="441"/>
      <c r="V139" s="453">
        <f t="shared" si="50"/>
        <v>2</v>
      </c>
      <c r="W139" s="441"/>
      <c r="X139" s="441"/>
      <c r="Y139" s="451">
        <f t="shared" si="52"/>
      </c>
      <c r="Z139" s="448" t="b">
        <f t="shared" si="51"/>
        <v>0</v>
      </c>
      <c r="AA139" s="423"/>
    </row>
    <row r="140" spans="1:27" s="522" customFormat="1" ht="12.75" customHeight="1">
      <c r="A140" s="4"/>
      <c r="B140" s="5"/>
      <c r="C140" s="29">
        <v>6</v>
      </c>
      <c r="D140" s="931">
        <f t="shared" si="44"/>
      </c>
      <c r="E140" s="932"/>
      <c r="F140" s="932"/>
      <c r="G140" s="933"/>
      <c r="H140" s="64">
        <f t="shared" si="45"/>
      </c>
      <c r="I140" s="531"/>
      <c r="J140" s="531"/>
      <c r="K140" s="402">
        <f t="shared" si="46"/>
      </c>
      <c r="L140" s="323"/>
      <c r="M140" s="323"/>
      <c r="N140" s="323"/>
      <c r="O140" s="323"/>
      <c r="P140" s="9"/>
      <c r="Q140" s="451" t="str">
        <f t="shared" si="47"/>
        <v>CAPINI_2_</v>
      </c>
      <c r="R140" s="451" t="str">
        <f t="shared" si="48"/>
        <v>HAL_2_</v>
      </c>
      <c r="S140" s="451" t="str">
        <f t="shared" si="49"/>
        <v>HAL_2_6</v>
      </c>
      <c r="T140" s="441"/>
      <c r="U140" s="441"/>
      <c r="V140" s="453">
        <f t="shared" si="50"/>
        <v>2</v>
      </c>
      <c r="W140" s="441"/>
      <c r="X140" s="441"/>
      <c r="Y140" s="451">
        <f t="shared" si="52"/>
      </c>
      <c r="Z140" s="448" t="b">
        <f t="shared" si="51"/>
        <v>0</v>
      </c>
      <c r="AA140" s="423"/>
    </row>
    <row r="141" spans="1:27" s="522" customFormat="1" ht="12.75" customHeight="1">
      <c r="A141" s="4"/>
      <c r="B141" s="5"/>
      <c r="C141" s="29">
        <v>7</v>
      </c>
      <c r="D141" s="931">
        <f t="shared" si="44"/>
      </c>
      <c r="E141" s="932"/>
      <c r="F141" s="932"/>
      <c r="G141" s="933"/>
      <c r="H141" s="64">
        <f t="shared" si="45"/>
      </c>
      <c r="I141" s="531"/>
      <c r="J141" s="531"/>
      <c r="K141" s="402">
        <f t="shared" si="46"/>
      </c>
      <c r="L141" s="323"/>
      <c r="M141" s="323"/>
      <c r="N141" s="323"/>
      <c r="O141" s="323"/>
      <c r="P141" s="9"/>
      <c r="Q141" s="451" t="str">
        <f t="shared" si="47"/>
        <v>CAPINI_2_</v>
      </c>
      <c r="R141" s="451" t="str">
        <f t="shared" si="48"/>
        <v>HAL_2_</v>
      </c>
      <c r="S141" s="451" t="str">
        <f t="shared" si="49"/>
        <v>HAL_2_7</v>
      </c>
      <c r="T141" s="441"/>
      <c r="U141" s="441"/>
      <c r="V141" s="453">
        <f t="shared" si="50"/>
        <v>2</v>
      </c>
      <c r="W141" s="441"/>
      <c r="X141" s="441"/>
      <c r="Y141" s="451">
        <f t="shared" si="52"/>
      </c>
      <c r="Z141" s="448" t="b">
        <f t="shared" si="51"/>
        <v>0</v>
      </c>
      <c r="AA141" s="423"/>
    </row>
    <row r="142" spans="1:27" s="522" customFormat="1" ht="12.75" customHeight="1">
      <c r="A142" s="4"/>
      <c r="B142" s="5"/>
      <c r="C142" s="29">
        <v>8</v>
      </c>
      <c r="D142" s="931">
        <f t="shared" si="44"/>
      </c>
      <c r="E142" s="932"/>
      <c r="F142" s="932"/>
      <c r="G142" s="933"/>
      <c r="H142" s="64">
        <f t="shared" si="45"/>
      </c>
      <c r="I142" s="531"/>
      <c r="J142" s="531"/>
      <c r="K142" s="402">
        <f t="shared" si="46"/>
      </c>
      <c r="L142" s="323"/>
      <c r="M142" s="323"/>
      <c r="N142" s="323"/>
      <c r="O142" s="323"/>
      <c r="P142" s="9"/>
      <c r="Q142" s="451" t="str">
        <f t="shared" si="47"/>
        <v>CAPINI_2_</v>
      </c>
      <c r="R142" s="451" t="str">
        <f t="shared" si="48"/>
        <v>HAL_2_</v>
      </c>
      <c r="S142" s="451" t="str">
        <f t="shared" si="49"/>
        <v>HAL_2_8</v>
      </c>
      <c r="T142" s="441"/>
      <c r="U142" s="441"/>
      <c r="V142" s="453">
        <f t="shared" si="50"/>
        <v>2</v>
      </c>
      <c r="W142" s="441"/>
      <c r="X142" s="441"/>
      <c r="Y142" s="451">
        <f t="shared" si="52"/>
      </c>
      <c r="Z142" s="448" t="b">
        <f t="shared" si="51"/>
        <v>0</v>
      </c>
      <c r="AA142" s="423"/>
    </row>
    <row r="143" spans="1:27" s="522" customFormat="1" ht="12.75" customHeight="1">
      <c r="A143" s="4"/>
      <c r="B143" s="5"/>
      <c r="C143" s="29">
        <v>9</v>
      </c>
      <c r="D143" s="931">
        <f t="shared" si="44"/>
      </c>
      <c r="E143" s="932"/>
      <c r="F143" s="932"/>
      <c r="G143" s="933"/>
      <c r="H143" s="64">
        <f t="shared" si="45"/>
      </c>
      <c r="I143" s="531"/>
      <c r="J143" s="531"/>
      <c r="K143" s="402">
        <f t="shared" si="46"/>
      </c>
      <c r="L143" s="323"/>
      <c r="M143" s="323"/>
      <c r="N143" s="323"/>
      <c r="O143" s="323"/>
      <c r="P143" s="9"/>
      <c r="Q143" s="451" t="str">
        <f t="shared" si="47"/>
        <v>CAPINI_2_</v>
      </c>
      <c r="R143" s="451" t="str">
        <f t="shared" si="48"/>
        <v>HAL_2_</v>
      </c>
      <c r="S143" s="451" t="str">
        <f t="shared" si="49"/>
        <v>HAL_2_9</v>
      </c>
      <c r="T143" s="441"/>
      <c r="U143" s="441"/>
      <c r="V143" s="453">
        <f t="shared" si="50"/>
        <v>2</v>
      </c>
      <c r="W143" s="441"/>
      <c r="X143" s="441"/>
      <c r="Y143" s="451">
        <f t="shared" si="52"/>
      </c>
      <c r="Z143" s="448" t="b">
        <f t="shared" si="51"/>
        <v>0</v>
      </c>
      <c r="AA143" s="423"/>
    </row>
    <row r="144" spans="1:27" s="522" customFormat="1" ht="12.75" customHeight="1">
      <c r="A144" s="4"/>
      <c r="B144" s="5"/>
      <c r="C144" s="25">
        <v>10</v>
      </c>
      <c r="D144" s="962">
        <f t="shared" si="44"/>
      </c>
      <c r="E144" s="963"/>
      <c r="F144" s="963"/>
      <c r="G144" s="964"/>
      <c r="H144" s="63">
        <f t="shared" si="45"/>
      </c>
      <c r="I144" s="532"/>
      <c r="J144" s="532"/>
      <c r="K144" s="403">
        <f t="shared" si="46"/>
      </c>
      <c r="L144" s="323"/>
      <c r="M144" s="323"/>
      <c r="N144" s="323"/>
      <c r="O144" s="323"/>
      <c r="P144" s="9"/>
      <c r="Q144" s="451" t="str">
        <f t="shared" si="47"/>
        <v>CAPINI_2_</v>
      </c>
      <c r="R144" s="451" t="str">
        <f t="shared" si="48"/>
        <v>HAL_2_</v>
      </c>
      <c r="S144" s="451" t="str">
        <f t="shared" si="49"/>
        <v>HAL_2_10</v>
      </c>
      <c r="T144" s="441"/>
      <c r="U144" s="441"/>
      <c r="V144" s="453">
        <f t="shared" si="50"/>
        <v>2</v>
      </c>
      <c r="W144" s="441"/>
      <c r="X144" s="441"/>
      <c r="Y144" s="451">
        <f t="shared" si="52"/>
      </c>
      <c r="Z144" s="448" t="b">
        <f t="shared" si="51"/>
        <v>0</v>
      </c>
      <c r="AA144" s="423"/>
    </row>
    <row r="145" spans="1:27" s="522" customFormat="1" ht="25.5" customHeight="1">
      <c r="A145" s="4"/>
      <c r="B145" s="5"/>
      <c r="C145" s="29">
        <v>11</v>
      </c>
      <c r="D145" s="937" t="str">
        <f aca="true" t="shared" si="53" ref="D145:D150">INDEX(EUconst_FallBackListNames,C145-10)</f>
        <v>Sous-installation avec référentiel de chaleur, CL (risque de fuite de carbone)</v>
      </c>
      <c r="E145" s="938"/>
      <c r="F145" s="938"/>
      <c r="G145" s="939"/>
      <c r="H145" s="678" t="str">
        <f aca="true" t="shared" si="54" ref="H145:H150">IF(D145&lt;&gt;"",INDEX(EUconst_FallBackListUnits,MATCH($D145,EUconst_FallBackListNames,0))&amp;" / "&amp;EUconst_Year,"")</f>
        <v>TJ / année</v>
      </c>
      <c r="I145" s="535"/>
      <c r="J145" s="530"/>
      <c r="K145" s="404">
        <f aca="true" t="shared" si="55" ref="K145:K150">IF(Y145="","",IF(AND(COUNT(G123:N123)&gt;0,COUNT(I145:J145)&lt;2),EUconst_Incomplete,""))</f>
      </c>
      <c r="L145" s="323"/>
      <c r="M145" s="323"/>
      <c r="N145" s="323"/>
      <c r="O145" s="323"/>
      <c r="P145" s="9"/>
      <c r="Q145" s="451" t="str">
        <f t="shared" si="47"/>
        <v>CAPINI_2_Sous-installation avec référentiel de chaleur, CL (risque de fuite de carbone)</v>
      </c>
      <c r="R145" s="451" t="str">
        <f t="shared" si="48"/>
        <v>HAL_2_Sous-installation avec référentiel de chaleur, CL (risque de fuite de carbone)</v>
      </c>
      <c r="S145" s="441"/>
      <c r="T145" s="441"/>
      <c r="U145" s="441"/>
      <c r="V145" s="453">
        <f t="shared" si="50"/>
        <v>2</v>
      </c>
      <c r="W145" s="441"/>
      <c r="X145" s="441"/>
      <c r="Y145" s="451">
        <f t="shared" si="52"/>
      </c>
      <c r="Z145" s="448" t="b">
        <f aca="true" t="shared" si="56" ref="Z145:Z150">AND(Y145&lt;&gt;"",COUNT(G100:N100)=0)</f>
        <v>0</v>
      </c>
      <c r="AA145" s="423"/>
    </row>
    <row r="146" spans="1:27" s="522" customFormat="1" ht="25.5" customHeight="1">
      <c r="A146" s="4"/>
      <c r="B146" s="5"/>
      <c r="C146" s="29">
        <v>12</v>
      </c>
      <c r="D146" s="940" t="str">
        <f t="shared" si="53"/>
        <v>Sous-installation avec référentiel de chaleur, non-CL (sans risque de fuite de carbone)</v>
      </c>
      <c r="E146" s="941"/>
      <c r="F146" s="941"/>
      <c r="G146" s="942"/>
      <c r="H146" s="679" t="str">
        <f t="shared" si="54"/>
        <v>TJ / année</v>
      </c>
      <c r="I146" s="536"/>
      <c r="J146" s="531"/>
      <c r="K146" s="402">
        <f t="shared" si="55"/>
      </c>
      <c r="L146" s="323"/>
      <c r="M146" s="323"/>
      <c r="N146" s="323"/>
      <c r="O146" s="323"/>
      <c r="P146" s="9"/>
      <c r="Q146" s="451" t="str">
        <f t="shared" si="47"/>
        <v>CAPINI_2_Sous-installation avec référentiel de chaleur, non-CL (sans risque de fuite de carbone)</v>
      </c>
      <c r="R146" s="451" t="str">
        <f t="shared" si="48"/>
        <v>HAL_2_Sous-installation avec référentiel de chaleur, non-CL (sans risque de fuite de carbone)</v>
      </c>
      <c r="S146" s="441"/>
      <c r="T146" s="441"/>
      <c r="U146" s="441"/>
      <c r="V146" s="453">
        <f t="shared" si="50"/>
        <v>2</v>
      </c>
      <c r="W146" s="441"/>
      <c r="X146" s="441"/>
      <c r="Y146" s="451">
        <f t="shared" si="52"/>
      </c>
      <c r="Z146" s="448" t="b">
        <f t="shared" si="56"/>
        <v>0</v>
      </c>
      <c r="AA146" s="423"/>
    </row>
    <row r="147" spans="1:27" s="522" customFormat="1" ht="25.5" customHeight="1">
      <c r="A147" s="4"/>
      <c r="B147" s="5"/>
      <c r="C147" s="29">
        <v>13</v>
      </c>
      <c r="D147" s="940" t="str">
        <f t="shared" si="53"/>
        <v>Sous-installation avec référentiel de combustibles, CL</v>
      </c>
      <c r="E147" s="941"/>
      <c r="F147" s="941"/>
      <c r="G147" s="942"/>
      <c r="H147" s="679" t="str">
        <f t="shared" si="54"/>
        <v>TJ / année</v>
      </c>
      <c r="I147" s="536"/>
      <c r="J147" s="531"/>
      <c r="K147" s="402">
        <f t="shared" si="55"/>
      </c>
      <c r="L147" s="323"/>
      <c r="M147" s="323"/>
      <c r="N147" s="323"/>
      <c r="O147" s="323"/>
      <c r="P147" s="9"/>
      <c r="Q147" s="451" t="str">
        <f t="shared" si="47"/>
        <v>CAPINI_2_Sous-installation avec référentiel de combustibles, CL</v>
      </c>
      <c r="R147" s="451" t="str">
        <f t="shared" si="48"/>
        <v>HAL_2_Sous-installation avec référentiel de combustibles, CL</v>
      </c>
      <c r="S147" s="441"/>
      <c r="T147" s="441"/>
      <c r="U147" s="441"/>
      <c r="V147" s="453">
        <f t="shared" si="50"/>
        <v>2</v>
      </c>
      <c r="W147" s="441"/>
      <c r="X147" s="441"/>
      <c r="Y147" s="451">
        <f t="shared" si="52"/>
      </c>
      <c r="Z147" s="448" t="b">
        <f t="shared" si="56"/>
        <v>0</v>
      </c>
      <c r="AA147" s="423"/>
    </row>
    <row r="148" spans="1:27" s="522" customFormat="1" ht="25.5" customHeight="1">
      <c r="A148" s="4"/>
      <c r="B148" s="5"/>
      <c r="C148" s="29">
        <v>14</v>
      </c>
      <c r="D148" s="940" t="str">
        <f t="shared" si="53"/>
        <v>Sous-installation avec référentiel de combustibles, non-CL</v>
      </c>
      <c r="E148" s="941"/>
      <c r="F148" s="941"/>
      <c r="G148" s="942"/>
      <c r="H148" s="679" t="str">
        <f t="shared" si="54"/>
        <v>TJ / année</v>
      </c>
      <c r="I148" s="536"/>
      <c r="J148" s="531"/>
      <c r="K148" s="402">
        <f t="shared" si="55"/>
      </c>
      <c r="L148" s="323"/>
      <c r="M148" s="323"/>
      <c r="N148" s="323"/>
      <c r="O148" s="323"/>
      <c r="P148" s="9"/>
      <c r="Q148" s="451" t="str">
        <f t="shared" si="47"/>
        <v>CAPINI_2_Sous-installation avec référentiel de combustibles, non-CL</v>
      </c>
      <c r="R148" s="451" t="str">
        <f t="shared" si="48"/>
        <v>HAL_2_Sous-installation avec référentiel de combustibles, non-CL</v>
      </c>
      <c r="S148" s="441"/>
      <c r="T148" s="441"/>
      <c r="U148" s="441"/>
      <c r="V148" s="453">
        <f t="shared" si="50"/>
        <v>2</v>
      </c>
      <c r="W148" s="441"/>
      <c r="X148" s="441"/>
      <c r="Y148" s="451">
        <f t="shared" si="52"/>
      </c>
      <c r="Z148" s="448" t="b">
        <f t="shared" si="56"/>
        <v>0</v>
      </c>
      <c r="AA148" s="423"/>
    </row>
    <row r="149" spans="1:27" s="522" customFormat="1" ht="25.5" customHeight="1">
      <c r="A149" s="4"/>
      <c r="B149" s="5"/>
      <c r="C149" s="29">
        <v>15</v>
      </c>
      <c r="D149" s="940" t="str">
        <f t="shared" si="53"/>
        <v>Sous-installation avec émissions de procédé, CL</v>
      </c>
      <c r="E149" s="941"/>
      <c r="F149" s="941"/>
      <c r="G149" s="942"/>
      <c r="H149" s="679" t="str">
        <f t="shared" si="54"/>
        <v>t CO2e / année</v>
      </c>
      <c r="I149" s="536"/>
      <c r="J149" s="531"/>
      <c r="K149" s="402">
        <f t="shared" si="55"/>
      </c>
      <c r="L149" s="323"/>
      <c r="M149" s="323"/>
      <c r="N149" s="323"/>
      <c r="O149" s="323"/>
      <c r="P149" s="9"/>
      <c r="Q149" s="451" t="str">
        <f t="shared" si="47"/>
        <v>CAPINI_2_Sous-installation avec émissions de procédé, CL</v>
      </c>
      <c r="R149" s="451" t="str">
        <f t="shared" si="48"/>
        <v>HAL_2_Sous-installation avec émissions de procédé, CL</v>
      </c>
      <c r="S149" s="441"/>
      <c r="T149" s="441"/>
      <c r="U149" s="441"/>
      <c r="V149" s="453">
        <f t="shared" si="50"/>
        <v>2</v>
      </c>
      <c r="W149" s="441"/>
      <c r="X149" s="441"/>
      <c r="Y149" s="451">
        <f t="shared" si="52"/>
      </c>
      <c r="Z149" s="448" t="b">
        <f t="shared" si="56"/>
        <v>0</v>
      </c>
      <c r="AA149" s="423"/>
    </row>
    <row r="150" spans="1:27" s="522" customFormat="1" ht="25.5" customHeight="1" thickBot="1">
      <c r="A150" s="4"/>
      <c r="B150" s="5"/>
      <c r="C150" s="25">
        <v>16</v>
      </c>
      <c r="D150" s="934" t="str">
        <f t="shared" si="53"/>
        <v>Sous-installation avec émissions de procédé, non-CL</v>
      </c>
      <c r="E150" s="935"/>
      <c r="F150" s="935"/>
      <c r="G150" s="936"/>
      <c r="H150" s="680" t="str">
        <f t="shared" si="54"/>
        <v>t CO2e / année</v>
      </c>
      <c r="I150" s="537"/>
      <c r="J150" s="532"/>
      <c r="K150" s="403">
        <f t="shared" si="55"/>
      </c>
      <c r="L150" s="323"/>
      <c r="M150" s="323"/>
      <c r="N150" s="323"/>
      <c r="O150" s="323"/>
      <c r="P150" s="9"/>
      <c r="Q150" s="451" t="str">
        <f t="shared" si="47"/>
        <v>CAPINI_2_Sous-installation avec émissions de procédé, non-CL</v>
      </c>
      <c r="R150" s="451" t="str">
        <f t="shared" si="48"/>
        <v>HAL_2_Sous-installation avec émissions de procédé, non-CL</v>
      </c>
      <c r="S150" s="441"/>
      <c r="T150" s="441"/>
      <c r="U150" s="441"/>
      <c r="V150" s="454">
        <f t="shared" si="50"/>
        <v>2</v>
      </c>
      <c r="W150" s="441"/>
      <c r="X150" s="441"/>
      <c r="Y150" s="451">
        <f t="shared" si="52"/>
      </c>
      <c r="Z150" s="448" t="b">
        <f t="shared" si="56"/>
        <v>0</v>
      </c>
      <c r="AA150" s="423"/>
    </row>
    <row r="151" spans="1:27" s="522" customFormat="1" ht="39.75" customHeight="1">
      <c r="A151" s="4"/>
      <c r="B151" s="5"/>
      <c r="C151" s="7"/>
      <c r="D151" s="5"/>
      <c r="E151" s="5"/>
      <c r="F151" s="5"/>
      <c r="G151" s="5"/>
      <c r="H151" s="5"/>
      <c r="I151" s="5"/>
      <c r="J151" s="5"/>
      <c r="K151" s="5"/>
      <c r="L151" s="5"/>
      <c r="M151" s="9"/>
      <c r="N151" s="9"/>
      <c r="O151" s="315"/>
      <c r="P151" s="9"/>
      <c r="Q151" s="441"/>
      <c r="R151" s="423"/>
      <c r="S151" s="423"/>
      <c r="T151" s="423"/>
      <c r="U151" s="423"/>
      <c r="V151" s="423"/>
      <c r="W151" s="423"/>
      <c r="X151" s="423"/>
      <c r="Y151" s="423"/>
      <c r="Z151" s="423"/>
      <c r="AA151" s="423"/>
    </row>
    <row r="152" spans="1:27" s="522" customFormat="1" ht="12.75">
      <c r="A152" s="4"/>
      <c r="B152" s="18"/>
      <c r="C152" s="18"/>
      <c r="D152" s="779" t="str">
        <f>HYPERLINK(R152,Translations!$B$336)</f>
        <v>&lt;&lt;&lt; Cliquer ici pour passer à la feuille suivante &gt;&gt;&gt; </v>
      </c>
      <c r="E152" s="780"/>
      <c r="F152" s="780"/>
      <c r="G152" s="780"/>
      <c r="H152" s="780"/>
      <c r="I152" s="780"/>
      <c r="J152" s="780"/>
      <c r="K152" s="780"/>
      <c r="L152" s="780"/>
      <c r="M152" s="780"/>
      <c r="N152" s="780"/>
      <c r="O152" s="18"/>
      <c r="P152" s="18"/>
      <c r="Q152" s="334"/>
      <c r="R152" s="451" t="str">
        <f>$W$2</f>
        <v>#C_MergerSplitTransfer!$C$6</v>
      </c>
      <c r="S152" s="334"/>
      <c r="T152" s="334"/>
      <c r="U152" s="334"/>
      <c r="V152" s="334"/>
      <c r="W152" s="334"/>
      <c r="X152" s="334"/>
      <c r="Y152" s="334"/>
      <c r="Z152" s="334"/>
      <c r="AA152" s="423"/>
    </row>
    <row r="153" spans="2:27" s="522" customFormat="1" ht="12.75">
      <c r="B153" s="523"/>
      <c r="C153" s="523"/>
      <c r="D153" s="523"/>
      <c r="E153" s="523"/>
      <c r="F153" s="523"/>
      <c r="G153" s="523"/>
      <c r="H153" s="523"/>
      <c r="I153" s="523"/>
      <c r="J153" s="523"/>
      <c r="K153" s="523"/>
      <c r="L153" s="523"/>
      <c r="M153" s="519"/>
      <c r="N153" s="519"/>
      <c r="O153" s="519"/>
      <c r="P153" s="519"/>
      <c r="Q153" s="457" t="s">
        <v>170</v>
      </c>
      <c r="R153" s="457" t="s">
        <v>170</v>
      </c>
      <c r="S153" s="457" t="s">
        <v>170</v>
      </c>
      <c r="T153" s="457" t="s">
        <v>170</v>
      </c>
      <c r="U153" s="457" t="s">
        <v>170</v>
      </c>
      <c r="V153" s="457" t="s">
        <v>170</v>
      </c>
      <c r="W153" s="457" t="s">
        <v>170</v>
      </c>
      <c r="X153" s="457" t="s">
        <v>170</v>
      </c>
      <c r="Y153" s="457" t="s">
        <v>170</v>
      </c>
      <c r="Z153" s="457" t="s">
        <v>170</v>
      </c>
      <c r="AA153" s="423"/>
    </row>
  </sheetData>
  <sheetProtection sheet="1" objects="1" scenarios="1" formatCells="0" formatColumns="0" formatRows="0"/>
  <mergeCells count="160">
    <mergeCell ref="D152:N152"/>
    <mergeCell ref="E37:N37"/>
    <mergeCell ref="E38:N38"/>
    <mergeCell ref="D113:F113"/>
    <mergeCell ref="D114:F114"/>
    <mergeCell ref="D46:F46"/>
    <mergeCell ref="D52:F52"/>
    <mergeCell ref="D58:F58"/>
    <mergeCell ref="D106:F106"/>
    <mergeCell ref="D107:F107"/>
    <mergeCell ref="D10:J10"/>
    <mergeCell ref="D83:J83"/>
    <mergeCell ref="D44:F44"/>
    <mergeCell ref="D45:F45"/>
    <mergeCell ref="D104:F104"/>
    <mergeCell ref="D105:F105"/>
    <mergeCell ref="D80:G80"/>
    <mergeCell ref="D47:F47"/>
    <mergeCell ref="D59:F59"/>
    <mergeCell ref="D49:F49"/>
    <mergeCell ref="D50:F50"/>
    <mergeCell ref="D51:F51"/>
    <mergeCell ref="D123:F123"/>
    <mergeCell ref="D124:F124"/>
    <mergeCell ref="D125:F125"/>
    <mergeCell ref="D126:F126"/>
    <mergeCell ref="D115:F115"/>
    <mergeCell ref="D116:F116"/>
    <mergeCell ref="D117:F117"/>
    <mergeCell ref="D118:F118"/>
    <mergeCell ref="D119:F119"/>
    <mergeCell ref="D122:F122"/>
    <mergeCell ref="M84:N84"/>
    <mergeCell ref="D96:F96"/>
    <mergeCell ref="D97:F97"/>
    <mergeCell ref="D98:F98"/>
    <mergeCell ref="D99:F99"/>
    <mergeCell ref="D121:F121"/>
    <mergeCell ref="D120:F120"/>
    <mergeCell ref="E109:N109"/>
    <mergeCell ref="D134:G134"/>
    <mergeCell ref="D135:G135"/>
    <mergeCell ref="D136:G136"/>
    <mergeCell ref="D129:F129"/>
    <mergeCell ref="D130:F130"/>
    <mergeCell ref="D137:G137"/>
    <mergeCell ref="D150:G150"/>
    <mergeCell ref="D139:G139"/>
    <mergeCell ref="D140:G140"/>
    <mergeCell ref="D141:G141"/>
    <mergeCell ref="D142:G142"/>
    <mergeCell ref="D143:G143"/>
    <mergeCell ref="D144:G144"/>
    <mergeCell ref="D145:G145"/>
    <mergeCell ref="D148:G148"/>
    <mergeCell ref="D149:G149"/>
    <mergeCell ref="D146:G146"/>
    <mergeCell ref="D147:G147"/>
    <mergeCell ref="E133:N133"/>
    <mergeCell ref="D127:F127"/>
    <mergeCell ref="D128:F128"/>
    <mergeCell ref="D101:F101"/>
    <mergeCell ref="D138:G138"/>
    <mergeCell ref="E132:N132"/>
    <mergeCell ref="D111:F111"/>
    <mergeCell ref="D112:F112"/>
    <mergeCell ref="E86:N86"/>
    <mergeCell ref="D88:F88"/>
    <mergeCell ref="D89:F89"/>
    <mergeCell ref="D90:F90"/>
    <mergeCell ref="D91:F91"/>
    <mergeCell ref="D103:F103"/>
    <mergeCell ref="K83:N83"/>
    <mergeCell ref="E14:N14"/>
    <mergeCell ref="E61:N61"/>
    <mergeCell ref="E62:N62"/>
    <mergeCell ref="D23:F23"/>
    <mergeCell ref="D16:F16"/>
    <mergeCell ref="D18:F18"/>
    <mergeCell ref="D54:F54"/>
    <mergeCell ref="D53:F53"/>
    <mergeCell ref="D40:F40"/>
    <mergeCell ref="D64:G64"/>
    <mergeCell ref="D102:F102"/>
    <mergeCell ref="D92:F92"/>
    <mergeCell ref="D93:F93"/>
    <mergeCell ref="D94:F94"/>
    <mergeCell ref="D95:F95"/>
    <mergeCell ref="D76:G76"/>
    <mergeCell ref="D100:F100"/>
    <mergeCell ref="D78:G78"/>
    <mergeCell ref="D79:G79"/>
    <mergeCell ref="D65:G65"/>
    <mergeCell ref="D66:G66"/>
    <mergeCell ref="D73:G73"/>
    <mergeCell ref="D69:G69"/>
    <mergeCell ref="D77:G77"/>
    <mergeCell ref="D24:F24"/>
    <mergeCell ref="D25:F25"/>
    <mergeCell ref="D26:F26"/>
    <mergeCell ref="D74:G74"/>
    <mergeCell ref="D71:G71"/>
    <mergeCell ref="E63:N63"/>
    <mergeCell ref="D41:F41"/>
    <mergeCell ref="D42:F42"/>
    <mergeCell ref="D43:F43"/>
    <mergeCell ref="D48:F48"/>
    <mergeCell ref="G2:H2"/>
    <mergeCell ref="I2:J2"/>
    <mergeCell ref="K2:L2"/>
    <mergeCell ref="M2:N2"/>
    <mergeCell ref="E3:F3"/>
    <mergeCell ref="G3:H3"/>
    <mergeCell ref="I3:J3"/>
    <mergeCell ref="D22:F22"/>
    <mergeCell ref="I4:J4"/>
    <mergeCell ref="K4:L4"/>
    <mergeCell ref="D35:F35"/>
    <mergeCell ref="D31:F31"/>
    <mergeCell ref="K10:N10"/>
    <mergeCell ref="D20:F20"/>
    <mergeCell ref="M11:N11"/>
    <mergeCell ref="G4:H4"/>
    <mergeCell ref="E4:F4"/>
    <mergeCell ref="D21:F21"/>
    <mergeCell ref="K3:L3"/>
    <mergeCell ref="D19:F19"/>
    <mergeCell ref="M3:N3"/>
    <mergeCell ref="E13:N13"/>
    <mergeCell ref="D17:F17"/>
    <mergeCell ref="M4:N4"/>
    <mergeCell ref="D6:N6"/>
    <mergeCell ref="B2:D4"/>
    <mergeCell ref="D30:F30"/>
    <mergeCell ref="D75:G75"/>
    <mergeCell ref="D72:G72"/>
    <mergeCell ref="D70:G70"/>
    <mergeCell ref="D32:F32"/>
    <mergeCell ref="D34:F34"/>
    <mergeCell ref="D55:F55"/>
    <mergeCell ref="D56:F56"/>
    <mergeCell ref="D57:F57"/>
    <mergeCell ref="U4:V4"/>
    <mergeCell ref="W4:X4"/>
    <mergeCell ref="Y4:Z4"/>
    <mergeCell ref="S4:T4"/>
    <mergeCell ref="D67:G67"/>
    <mergeCell ref="D68:G68"/>
    <mergeCell ref="D33:F33"/>
    <mergeCell ref="D27:F27"/>
    <mergeCell ref="D28:F28"/>
    <mergeCell ref="D29:F29"/>
    <mergeCell ref="S3:T3"/>
    <mergeCell ref="U3:V3"/>
    <mergeCell ref="S2:T2"/>
    <mergeCell ref="U2:V2"/>
    <mergeCell ref="W2:X2"/>
    <mergeCell ref="Y2:Z2"/>
    <mergeCell ref="W3:X3"/>
    <mergeCell ref="Y3:Z3"/>
  </mergeCells>
  <conditionalFormatting sqref="I65:J80 I135:J150">
    <cfRule type="expression" priority="35" dxfId="12" stopIfTrue="1">
      <formula>$Z65</formula>
    </cfRule>
  </conditionalFormatting>
  <conditionalFormatting sqref="D18:F27 D90:F99 G17:N34 G89:N106">
    <cfRule type="expression" priority="32" dxfId="12" stopIfTrue="1">
      <formula>$Z17=TRUE</formula>
    </cfRule>
  </conditionalFormatting>
  <conditionalFormatting sqref="D42:F51">
    <cfRule type="expression" priority="6" dxfId="12" stopIfTrue="1">
      <formula>$Z42=TRUE</formula>
    </cfRule>
  </conditionalFormatting>
  <conditionalFormatting sqref="G112:N112 D113:F122">
    <cfRule type="expression" priority="5" dxfId="12" stopIfTrue="1">
      <formula>$Z112=TRUE</formula>
    </cfRule>
  </conditionalFormatting>
  <conditionalFormatting sqref="G41:N58">
    <cfRule type="expression" priority="2" dxfId="12" stopIfTrue="1">
      <formula>$Z41=TRUE</formula>
    </cfRule>
  </conditionalFormatting>
  <conditionalFormatting sqref="G113:N129">
    <cfRule type="expression" priority="1" dxfId="12" stopIfTrue="1">
      <formula>$Z113=TRUE</formula>
    </cfRule>
  </conditionalFormatting>
  <dataValidations count="1">
    <dataValidation type="list" allowBlank="1" showInputMessage="1" showErrorMessage="1" sqref="E18:F26 D18:D27 E90:F98 D90:D99">
      <formula1>EUconst_BMlistNames</formula1>
    </dataValidation>
  </dataValidations>
  <hyperlinks>
    <hyperlink ref="G2:H2" location="JUMP_Coverpage_Top" display="JUMP_Coverpage_Top"/>
  </hyperlink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AA73"/>
  <sheetViews>
    <sheetView zoomScalePageLayoutView="0" workbookViewId="0" topLeftCell="A1">
      <pane ySplit="4" topLeftCell="A44" activePane="bottomLeft" state="frozen"/>
      <selection pane="topLeft" activeCell="F43" sqref="F43"/>
      <selection pane="bottomLeft" activeCell="D67" sqref="D67:N67"/>
    </sheetView>
  </sheetViews>
  <sheetFormatPr defaultColWidth="11.421875" defaultRowHeight="12.75"/>
  <cols>
    <col min="1" max="1" width="4.7109375" style="82" hidden="1" customWidth="1"/>
    <col min="2" max="2" width="2.7109375" style="584" customWidth="1"/>
    <col min="3" max="4" width="4.7109375" style="584" customWidth="1"/>
    <col min="5" max="14" width="12.7109375" style="584" customWidth="1"/>
    <col min="15" max="15" width="4.7109375" style="584" customWidth="1"/>
    <col min="16" max="16" width="11.421875" style="584" hidden="1" customWidth="1"/>
    <col min="17" max="27" width="11.421875" style="513" hidden="1" customWidth="1"/>
    <col min="28" max="16384" width="11.421875" style="584" customWidth="1"/>
  </cols>
  <sheetData>
    <row r="1" spans="1:27" s="4" customFormat="1" ht="13.5" hidden="1" thickBot="1">
      <c r="A1" s="4" t="s">
        <v>486</v>
      </c>
      <c r="P1" s="319" t="s">
        <v>486</v>
      </c>
      <c r="Q1" s="423" t="s">
        <v>486</v>
      </c>
      <c r="R1" s="423" t="s">
        <v>486</v>
      </c>
      <c r="S1" s="440" t="s">
        <v>486</v>
      </c>
      <c r="T1" s="423" t="s">
        <v>486</v>
      </c>
      <c r="U1" s="423" t="s">
        <v>486</v>
      </c>
      <c r="V1" s="423" t="s">
        <v>486</v>
      </c>
      <c r="W1" s="423" t="s">
        <v>486</v>
      </c>
      <c r="X1" s="423" t="s">
        <v>486</v>
      </c>
      <c r="Y1" s="423" t="s">
        <v>486</v>
      </c>
      <c r="Z1" s="423" t="s">
        <v>486</v>
      </c>
      <c r="AA1" s="423" t="s">
        <v>486</v>
      </c>
    </row>
    <row r="2" spans="1:27" s="522" customFormat="1" ht="13.5" customHeight="1" thickBot="1">
      <c r="A2" s="4"/>
      <c r="B2" s="913" t="str">
        <f>Translations!$B$1558</f>
        <v>C. Merger, Split, Transfer (Fusion, scission, transfert)</v>
      </c>
      <c r="C2" s="914"/>
      <c r="D2" s="915"/>
      <c r="E2" s="201" t="str">
        <f>Translations!$B$276</f>
        <v>Zone de navigation:</v>
      </c>
      <c r="F2" s="199"/>
      <c r="G2" s="715" t="str">
        <f>Translations!$B$290</f>
        <v>Table des matières</v>
      </c>
      <c r="H2" s="702"/>
      <c r="I2" s="702" t="str">
        <f>HYPERLINK(U2,Translations!$B$291)</f>
        <v>Feuille précédente</v>
      </c>
      <c r="J2" s="702"/>
      <c r="K2" s="702" t="str">
        <f>HYPERLINK(W2,Translations!$B$277)</f>
        <v>Feuille suivante</v>
      </c>
      <c r="L2" s="702"/>
      <c r="M2" s="702" t="str">
        <f>HYPERLINK(Y2,Translations!$B$278)</f>
        <v>Résumé</v>
      </c>
      <c r="N2" s="709"/>
      <c r="O2" s="9"/>
      <c r="P2" s="9"/>
      <c r="Q2" s="441" t="s">
        <v>555</v>
      </c>
      <c r="R2" s="441"/>
      <c r="S2" s="704"/>
      <c r="T2" s="705"/>
      <c r="U2" s="706" t="str">
        <f>"#"&amp;ADDRESS(ROW(C6),COLUMN(C6),,,B_InitialSituation!Q3)</f>
        <v>#B_InitialSituation!$C$6</v>
      </c>
      <c r="V2" s="705"/>
      <c r="W2" s="706" t="str">
        <f>"#"&amp;ADDRESS(ROW(C6),COLUMN(C6),,,D_Summary!Q3)</f>
        <v>#D_Summary!$C$6</v>
      </c>
      <c r="X2" s="705"/>
      <c r="Y2" s="706" t="str">
        <f>"#"&amp;ADDRESS(ROW(C6),COLUMN(C6),,,D_Summary!Q3)</f>
        <v>#D_Summary!$C$6</v>
      </c>
      <c r="Z2" s="707"/>
      <c r="AA2" s="423"/>
    </row>
    <row r="3" spans="1:27" s="522" customFormat="1" ht="13.5" thickBot="1">
      <c r="A3" s="4"/>
      <c r="B3" s="916"/>
      <c r="C3" s="917"/>
      <c r="D3" s="918"/>
      <c r="E3" s="702" t="str">
        <f>HYPERLINK(R3,Translations!$B$279)</f>
        <v>Début de feuille</v>
      </c>
      <c r="F3" s="750"/>
      <c r="G3" s="716" t="str">
        <f>HYPERLINK(S3,Translations!$B$1500)</f>
        <v>Installation 1</v>
      </c>
      <c r="H3" s="717"/>
      <c r="I3" s="752" t="str">
        <f>HYPERLINK(U3,Translations!$B$1501)</f>
        <v>Installation 2</v>
      </c>
      <c r="J3" s="717"/>
      <c r="K3" s="752"/>
      <c r="L3" s="717"/>
      <c r="M3" s="752"/>
      <c r="N3" s="717"/>
      <c r="O3" s="9"/>
      <c r="P3" s="9"/>
      <c r="Q3" s="499" t="str">
        <f ca="1">IF(ISERROR(CELL("filename",Q1)),"C_MergerSplitTransfer",MID(CELL("filename",Q1),FIND("]",CELL("filename",Q1))+1,1024))</f>
        <v>C_MergerSplitTransfer</v>
      </c>
      <c r="R3" s="500" t="str">
        <f>"#"&amp;ADDRESS(ROW(C6),COLUMN(C6))</f>
        <v>#$C$6</v>
      </c>
      <c r="S3" s="775" t="str">
        <f>"#"&amp;ADDRESS(ROW(C10),COLUMN(C10))</f>
        <v>#$C$10</v>
      </c>
      <c r="T3" s="776"/>
      <c r="U3" s="777" t="str">
        <f>"#"&amp;ADDRESS(ROW(C39),COLUMN(C39))</f>
        <v>#$C$39</v>
      </c>
      <c r="V3" s="776"/>
      <c r="W3" s="777"/>
      <c r="X3" s="776"/>
      <c r="Y3" s="777"/>
      <c r="Z3" s="778"/>
      <c r="AA3" s="423"/>
    </row>
    <row r="4" spans="1:27" s="522" customFormat="1" ht="13.5" customHeight="1" thickBot="1">
      <c r="A4" s="4"/>
      <c r="B4" s="919"/>
      <c r="C4" s="920"/>
      <c r="D4" s="921"/>
      <c r="E4" s="702" t="str">
        <f>HYPERLINK(R4,Translations!$B$280)</f>
        <v>Fin de feuille</v>
      </c>
      <c r="F4" s="702"/>
      <c r="G4" s="758"/>
      <c r="H4" s="759"/>
      <c r="I4" s="760"/>
      <c r="J4" s="759"/>
      <c r="K4" s="760"/>
      <c r="L4" s="759"/>
      <c r="M4" s="760"/>
      <c r="N4" s="759"/>
      <c r="O4" s="9"/>
      <c r="P4" s="9"/>
      <c r="Q4" s="441"/>
      <c r="R4" s="501" t="str">
        <f>"#"&amp;ADDRESS(ROW(D67),COLUMN(D67))</f>
        <v>#$D$67</v>
      </c>
      <c r="S4" s="781"/>
      <c r="T4" s="782"/>
      <c r="U4" s="783"/>
      <c r="V4" s="782"/>
      <c r="W4" s="783"/>
      <c r="X4" s="782"/>
      <c r="Y4" s="783"/>
      <c r="Z4" s="784"/>
      <c r="AA4" s="423"/>
    </row>
    <row r="5" spans="1:27" s="522" customFormat="1" ht="12.75">
      <c r="A5" s="4"/>
      <c r="B5" s="5"/>
      <c r="C5" s="6"/>
      <c r="D5" s="7"/>
      <c r="E5" s="7"/>
      <c r="F5" s="8"/>
      <c r="G5" s="8"/>
      <c r="H5" s="8"/>
      <c r="I5" s="5"/>
      <c r="J5" s="5"/>
      <c r="K5" s="5"/>
      <c r="L5" s="5"/>
      <c r="M5" s="9"/>
      <c r="N5" s="9"/>
      <c r="O5" s="9"/>
      <c r="P5" s="9"/>
      <c r="Q5" s="441"/>
      <c r="R5" s="423"/>
      <c r="S5" s="423"/>
      <c r="T5" s="423"/>
      <c r="U5" s="423"/>
      <c r="V5" s="423"/>
      <c r="W5" s="423"/>
      <c r="X5" s="423"/>
      <c r="Y5" s="423"/>
      <c r="Z5" s="423"/>
      <c r="AA5" s="423"/>
    </row>
    <row r="6" spans="1:27" s="522" customFormat="1" ht="23.25" customHeight="1">
      <c r="A6" s="4"/>
      <c r="B6" s="5"/>
      <c r="C6" s="11" t="s">
        <v>348</v>
      </c>
      <c r="D6" s="718" t="str">
        <f>Translations!$B$1559</f>
        <v>Feuille «Merger, Split and Transfer» («Fusion, scission, transfert»)</v>
      </c>
      <c r="E6" s="742"/>
      <c r="F6" s="742"/>
      <c r="G6" s="742"/>
      <c r="H6" s="742"/>
      <c r="I6" s="742"/>
      <c r="J6" s="742"/>
      <c r="K6" s="742"/>
      <c r="L6" s="742"/>
      <c r="M6" s="742"/>
      <c r="N6" s="742"/>
      <c r="O6" s="9"/>
      <c r="P6" s="9"/>
      <c r="Q6" s="442" t="s">
        <v>331</v>
      </c>
      <c r="R6" s="442" t="s">
        <v>331</v>
      </c>
      <c r="S6" s="442" t="s">
        <v>331</v>
      </c>
      <c r="T6" s="442" t="s">
        <v>331</v>
      </c>
      <c r="U6" s="442" t="s">
        <v>331</v>
      </c>
      <c r="V6" s="442" t="s">
        <v>331</v>
      </c>
      <c r="W6" s="442" t="s">
        <v>331</v>
      </c>
      <c r="X6" s="442" t="s">
        <v>331</v>
      </c>
      <c r="Y6" s="442" t="s">
        <v>331</v>
      </c>
      <c r="Z6" s="442" t="s">
        <v>331</v>
      </c>
      <c r="AA6" s="423"/>
    </row>
    <row r="7" spans="1:27" s="522" customFormat="1" ht="12.75" customHeight="1">
      <c r="A7" s="4"/>
      <c r="B7" s="5"/>
      <c r="C7" s="7"/>
      <c r="D7" s="5"/>
      <c r="E7" s="5"/>
      <c r="F7" s="5"/>
      <c r="G7" s="5"/>
      <c r="H7" s="5"/>
      <c r="I7" s="5"/>
      <c r="J7" s="5"/>
      <c r="K7" s="5"/>
      <c r="L7" s="5"/>
      <c r="M7" s="9"/>
      <c r="N7" s="9"/>
      <c r="O7" s="315"/>
      <c r="P7" s="9"/>
      <c r="Q7" s="441"/>
      <c r="R7" s="455"/>
      <c r="S7" s="423"/>
      <c r="T7" s="423"/>
      <c r="U7" s="423"/>
      <c r="V7" s="423"/>
      <c r="W7" s="423"/>
      <c r="X7" s="423"/>
      <c r="Y7" s="423"/>
      <c r="Z7" s="423"/>
      <c r="AA7" s="423"/>
    </row>
    <row r="8" spans="1:27" s="524" customFormat="1" ht="18" customHeight="1">
      <c r="A8" s="371"/>
      <c r="B8" s="208"/>
      <c r="C8" s="316" t="s">
        <v>128</v>
      </c>
      <c r="D8" s="332" t="str">
        <f>Translations!$B$1560</f>
        <v>Transfert de quotas, de capacité et de niveau d’activité</v>
      </c>
      <c r="E8" s="332"/>
      <c r="F8" s="332"/>
      <c r="G8" s="332"/>
      <c r="H8" s="332"/>
      <c r="I8" s="332"/>
      <c r="J8" s="332"/>
      <c r="K8" s="332"/>
      <c r="L8" s="332"/>
      <c r="M8" s="332"/>
      <c r="N8" s="332"/>
      <c r="O8" s="209"/>
      <c r="P8" s="209"/>
      <c r="Q8" s="363" t="s">
        <v>331</v>
      </c>
      <c r="R8" s="363" t="s">
        <v>331</v>
      </c>
      <c r="S8" s="363" t="s">
        <v>331</v>
      </c>
      <c r="T8" s="363" t="s">
        <v>331</v>
      </c>
      <c r="U8" s="363" t="s">
        <v>331</v>
      </c>
      <c r="V8" s="363" t="s">
        <v>331</v>
      </c>
      <c r="W8" s="363" t="s">
        <v>331</v>
      </c>
      <c r="X8" s="363" t="s">
        <v>331</v>
      </c>
      <c r="Y8" s="363" t="s">
        <v>331</v>
      </c>
      <c r="Z8" s="363" t="s">
        <v>331</v>
      </c>
      <c r="AA8" s="363"/>
    </row>
    <row r="9" spans="1:27" s="522" customFormat="1" ht="12.75" customHeight="1">
      <c r="A9" s="4"/>
      <c r="B9" s="5"/>
      <c r="C9" s="5"/>
      <c r="D9" s="5"/>
      <c r="E9" s="5"/>
      <c r="F9" s="5"/>
      <c r="G9" s="5"/>
      <c r="H9" s="5"/>
      <c r="I9" s="5"/>
      <c r="J9" s="5"/>
      <c r="K9" s="5"/>
      <c r="L9" s="5"/>
      <c r="M9" s="9"/>
      <c r="N9" s="9"/>
      <c r="O9" s="9"/>
      <c r="P9" s="9"/>
      <c r="Q9" s="441"/>
      <c r="R9" s="423"/>
      <c r="S9" s="423"/>
      <c r="T9" s="423"/>
      <c r="U9" s="423"/>
      <c r="V9" s="423"/>
      <c r="W9" s="423"/>
      <c r="X9" s="423"/>
      <c r="Y9" s="423"/>
      <c r="Z9" s="423"/>
      <c r="AA9" s="423"/>
    </row>
    <row r="10" spans="1:27" s="525" customFormat="1" ht="18" customHeight="1">
      <c r="A10" s="207"/>
      <c r="B10" s="333"/>
      <c r="C10" s="337">
        <v>1</v>
      </c>
      <c r="D10" s="988" t="str">
        <f>Translations!$B$1495&amp;" "&amp;C10</f>
        <v>Transfert d’installation 1</v>
      </c>
      <c r="E10" s="989"/>
      <c r="F10" s="989"/>
      <c r="G10" s="989"/>
      <c r="H10" s="989"/>
      <c r="I10" s="989"/>
      <c r="J10" s="989"/>
      <c r="K10" s="989"/>
      <c r="L10" s="989"/>
      <c r="M10" s="989"/>
      <c r="N10" s="989"/>
      <c r="O10" s="333"/>
      <c r="P10" s="333"/>
      <c r="Q10" s="445"/>
      <c r="R10" s="445"/>
      <c r="S10" s="445"/>
      <c r="T10" s="445"/>
      <c r="U10" s="445"/>
      <c r="V10" s="445"/>
      <c r="W10" s="445"/>
      <c r="X10" s="445"/>
      <c r="Y10" s="445"/>
      <c r="Z10" s="445"/>
      <c r="AA10" s="445"/>
    </row>
    <row r="11" spans="1:27" s="522" customFormat="1" ht="15">
      <c r="A11" s="4"/>
      <c r="B11" s="18"/>
      <c r="C11" s="16"/>
      <c r="D11" s="791" t="str">
        <f>Translations!$B$1561</f>
        <v>Veuillez indiquer ici la part des quotas, des capacités et du niveau d’activité transférés de la première installation.</v>
      </c>
      <c r="E11" s="742"/>
      <c r="F11" s="742"/>
      <c r="G11" s="742"/>
      <c r="H11" s="742"/>
      <c r="I11" s="742"/>
      <c r="J11" s="742"/>
      <c r="K11" s="742"/>
      <c r="L11" s="742"/>
      <c r="M11" s="742"/>
      <c r="N11" s="7"/>
      <c r="O11" s="7"/>
      <c r="P11" s="18"/>
      <c r="Q11" s="423"/>
      <c r="R11" s="423"/>
      <c r="S11" s="423"/>
      <c r="T11" s="423"/>
      <c r="U11" s="423"/>
      <c r="V11" s="423"/>
      <c r="W11" s="423"/>
      <c r="X11" s="423"/>
      <c r="Y11" s="423"/>
      <c r="Z11" s="423"/>
      <c r="AA11" s="423"/>
    </row>
    <row r="12" spans="1:27" s="522" customFormat="1" ht="4.5" customHeight="1">
      <c r="A12" s="4"/>
      <c r="B12" s="18"/>
      <c r="C12" s="16"/>
      <c r="D12" s="7"/>
      <c r="E12" s="7"/>
      <c r="F12" s="7"/>
      <c r="G12" s="7"/>
      <c r="H12" s="7"/>
      <c r="I12" s="7"/>
      <c r="J12" s="7"/>
      <c r="K12" s="7"/>
      <c r="L12" s="7"/>
      <c r="M12" s="7"/>
      <c r="N12" s="7"/>
      <c r="O12" s="7"/>
      <c r="P12" s="18"/>
      <c r="Q12" s="423"/>
      <c r="R12" s="423"/>
      <c r="S12" s="423"/>
      <c r="T12" s="423"/>
      <c r="U12" s="423"/>
      <c r="V12" s="423"/>
      <c r="W12" s="423"/>
      <c r="X12" s="423"/>
      <c r="Y12" s="423"/>
      <c r="Z12" s="423"/>
      <c r="AA12" s="423"/>
    </row>
    <row r="13" spans="1:27" s="522" customFormat="1" ht="13.5" thickBot="1">
      <c r="A13" s="4"/>
      <c r="B13" s="18"/>
      <c r="C13" s="7"/>
      <c r="D13" s="7"/>
      <c r="E13" s="7"/>
      <c r="F13" s="7"/>
      <c r="G13" s="7"/>
      <c r="H13" s="382" t="str">
        <f>Translations!$B$1562</f>
        <v>de:</v>
      </c>
      <c r="I13" s="7"/>
      <c r="J13" s="7"/>
      <c r="K13" s="7"/>
      <c r="L13" s="7"/>
      <c r="M13" s="7"/>
      <c r="N13" s="18"/>
      <c r="O13" s="3"/>
      <c r="P13" s="18"/>
      <c r="Q13" s="423"/>
      <c r="R13" s="423"/>
      <c r="S13" s="423"/>
      <c r="T13" s="423"/>
      <c r="U13" s="423"/>
      <c r="V13" s="423"/>
      <c r="W13" s="423"/>
      <c r="X13" s="423"/>
      <c r="Y13" s="423"/>
      <c r="Z13" s="423"/>
      <c r="AA13" s="423"/>
    </row>
    <row r="14" spans="1:27" s="525" customFormat="1" ht="25.5" customHeight="1" thickBot="1">
      <c r="A14" s="207"/>
      <c r="B14" s="208"/>
      <c r="C14" s="335"/>
      <c r="D14" s="208"/>
      <c r="E14" s="7"/>
      <c r="F14" s="7"/>
      <c r="G14" s="7"/>
      <c r="H14" s="974">
        <f>INDEX(A_InstallationData!$J$200:$J$273,MATCH(C10,A_InstallationData!$R$200:$R$273,0))</f>
      </c>
      <c r="I14" s="975"/>
      <c r="J14" s="976"/>
      <c r="K14" s="7"/>
      <c r="L14" s="7"/>
      <c r="M14" s="7"/>
      <c r="N14" s="338"/>
      <c r="O14" s="9"/>
      <c r="P14" s="9"/>
      <c r="Q14" s="458">
        <f>C10</f>
        <v>1</v>
      </c>
      <c r="R14" s="445"/>
      <c r="S14" s="445"/>
      <c r="T14" s="445"/>
      <c r="U14" s="445"/>
      <c r="V14" s="445"/>
      <c r="W14" s="445"/>
      <c r="X14" s="445"/>
      <c r="Y14" s="445"/>
      <c r="Z14" s="444" t="b">
        <f>H14=""</f>
        <v>1</v>
      </c>
      <c r="AA14" s="445"/>
    </row>
    <row r="15" spans="1:27" s="522" customFormat="1" ht="4.5" customHeight="1">
      <c r="A15" s="4"/>
      <c r="B15" s="5"/>
      <c r="C15" s="7"/>
      <c r="D15" s="5"/>
      <c r="E15" s="5"/>
      <c r="F15" s="5"/>
      <c r="G15" s="7"/>
      <c r="H15" s="5"/>
      <c r="I15" s="324"/>
      <c r="J15" s="5"/>
      <c r="K15" s="5"/>
      <c r="L15" s="5"/>
      <c r="M15" s="9"/>
      <c r="N15" s="315"/>
      <c r="O15" s="9"/>
      <c r="P15" s="9"/>
      <c r="Q15" s="441"/>
      <c r="R15" s="423"/>
      <c r="S15" s="423"/>
      <c r="T15" s="423"/>
      <c r="U15" s="423"/>
      <c r="V15" s="423"/>
      <c r="W15" s="423"/>
      <c r="X15" s="423"/>
      <c r="Y15" s="423"/>
      <c r="Z15" s="423"/>
      <c r="AA15" s="423"/>
    </row>
    <row r="16" spans="1:27" s="522" customFormat="1" ht="12.75" customHeight="1" thickBot="1">
      <c r="A16" s="4"/>
      <c r="B16" s="5"/>
      <c r="C16" s="7"/>
      <c r="D16" s="5"/>
      <c r="E16" s="5"/>
      <c r="F16" s="5"/>
      <c r="G16" s="7"/>
      <c r="H16" s="416" t="str">
        <f>Translations!$B$1563</f>
        <v>à:</v>
      </c>
      <c r="I16" s="417"/>
      <c r="J16" s="41"/>
      <c r="K16" s="416" t="str">
        <f>Translations!$B$1563</f>
        <v>à:</v>
      </c>
      <c r="L16" s="7"/>
      <c r="M16" s="7"/>
      <c r="N16" s="315"/>
      <c r="O16" s="9"/>
      <c r="P16" s="9"/>
      <c r="Q16" s="441"/>
      <c r="R16" s="423"/>
      <c r="S16" s="423"/>
      <c r="T16" s="423"/>
      <c r="U16" s="423"/>
      <c r="V16" s="423"/>
      <c r="W16" s="423"/>
      <c r="X16" s="423"/>
      <c r="Y16" s="423"/>
      <c r="Z16" s="423"/>
      <c r="AA16" s="423"/>
    </row>
    <row r="17" spans="1:27" s="522" customFormat="1" ht="25.5" customHeight="1" thickBot="1">
      <c r="A17" s="4"/>
      <c r="B17" s="5"/>
      <c r="C17" s="5"/>
      <c r="D17" s="5"/>
      <c r="E17" s="5"/>
      <c r="F17" s="5"/>
      <c r="G17" s="7"/>
      <c r="H17" s="974">
        <f>IF($H14="","",INDEX(A_InstallationData!$J$200:$J$273,MATCH(R17,A_InstallationData!$R$200:$R$273,0)))</f>
      </c>
      <c r="I17" s="975"/>
      <c r="J17" s="976"/>
      <c r="K17" s="974">
        <f>IF($H14="","",INDEX(A_InstallationData!$J$200:$J$273,MATCH(U17,A_InstallationData!$R$200:$R$273,0)))</f>
      </c>
      <c r="L17" s="975"/>
      <c r="M17" s="976"/>
      <c r="N17" s="9"/>
      <c r="O17" s="9"/>
      <c r="P17" s="9"/>
      <c r="Q17" s="441"/>
      <c r="R17" s="495">
        <v>3</v>
      </c>
      <c r="S17" s="423"/>
      <c r="T17" s="423"/>
      <c r="U17" s="495">
        <v>4</v>
      </c>
      <c r="V17" s="449" t="s">
        <v>548</v>
      </c>
      <c r="W17" s="423"/>
      <c r="X17" s="423"/>
      <c r="Y17" s="423"/>
      <c r="Z17" s="423"/>
      <c r="AA17" s="423"/>
    </row>
    <row r="18" spans="1:27" s="522" customFormat="1" ht="38.25" customHeight="1" thickBot="1">
      <c r="A18" s="4"/>
      <c r="B18" s="5"/>
      <c r="C18" s="20"/>
      <c r="D18" s="977" t="str">
        <f>Translations!$B$440</f>
        <v>Sous-installation</v>
      </c>
      <c r="E18" s="978"/>
      <c r="F18" s="978"/>
      <c r="G18" s="326"/>
      <c r="H18" s="418" t="str">
        <f>Translations!$B$1564</f>
        <v>Part</v>
      </c>
      <c r="I18" s="349" t="str">
        <f>Translations!$B$1565</f>
        <v>Capacité installée</v>
      </c>
      <c r="J18" s="420" t="str">
        <f>Translations!$B$1566</f>
        <v>Niveau d'activité annuel</v>
      </c>
      <c r="K18" s="421" t="str">
        <f>Translations!$B$1564</f>
        <v>Part</v>
      </c>
      <c r="L18" s="66" t="str">
        <f>Translations!$B$1565</f>
        <v>Capacité installée</v>
      </c>
      <c r="M18" s="422" t="str">
        <f>Translations!$B$1566</f>
        <v>Niveau d'activité annuel</v>
      </c>
      <c r="N18" s="587" t="str">
        <f>Translations!$B$1103</f>
        <v>message d'erreur</v>
      </c>
      <c r="O18" s="9"/>
      <c r="P18" s="9"/>
      <c r="Q18" s="441"/>
      <c r="R18" s="423"/>
      <c r="S18" s="423"/>
      <c r="T18" s="423"/>
      <c r="U18" s="423"/>
      <c r="V18" s="449"/>
      <c r="W18" s="423"/>
      <c r="X18" s="423"/>
      <c r="Y18" s="423"/>
      <c r="Z18" s="447" t="s">
        <v>299</v>
      </c>
      <c r="AA18" s="423"/>
    </row>
    <row r="19" spans="1:27" s="522" customFormat="1" ht="12.75" customHeight="1" thickBot="1">
      <c r="A19" s="4"/>
      <c r="B19" s="5"/>
      <c r="C19" s="419">
        <v>0</v>
      </c>
      <c r="D19" s="979" t="str">
        <f>Translations!$B$1447</f>
        <v>Phase antérieure au début</v>
      </c>
      <c r="E19" s="980"/>
      <c r="F19" s="980"/>
      <c r="G19" s="981"/>
      <c r="H19" s="461"/>
      <c r="I19" s="462"/>
      <c r="J19" s="463"/>
      <c r="K19" s="464">
        <f aca="true" t="shared" si="0" ref="K19:K36">IF(H19="","",1-H19)</f>
      </c>
      <c r="L19" s="465"/>
      <c r="M19" s="466"/>
      <c r="N19" s="467">
        <f aca="true" t="shared" si="1" ref="N19:N36">IF(AND($Z19=TRUE,H19=""),EUconst_Incomplete,IF(H19&gt;1,EUconst_Inconsistent,""))</f>
      </c>
      <c r="O19" s="9"/>
      <c r="P19" s="481"/>
      <c r="Q19" s="441"/>
      <c r="R19" s="423"/>
      <c r="S19" s="423"/>
      <c r="T19" s="451" t="str">
        <f aca="true" t="shared" si="2" ref="T19:T36">EUconst_CNTR_Finitial&amp;$V19&amp;"_"&amp;$D19</f>
        <v>FInitial_1_Phase antérieure au début</v>
      </c>
      <c r="U19" s="423"/>
      <c r="V19" s="452">
        <f>C10</f>
        <v>1</v>
      </c>
      <c r="W19" s="423"/>
      <c r="X19" s="423"/>
      <c r="Y19" s="423"/>
      <c r="Z19" s="448" t="b">
        <f>INDEX(B_InitialSituation!$X$9:$X$153,MATCH($T19,B_InitialSituation!$Q$9:$Q$153,0))</f>
        <v>0</v>
      </c>
      <c r="AA19" s="423"/>
    </row>
    <row r="20" spans="1:27" s="522" customFormat="1" ht="12.75" customHeight="1">
      <c r="A20" s="4"/>
      <c r="B20" s="5"/>
      <c r="C20" s="29">
        <v>1</v>
      </c>
      <c r="D20" s="982">
        <f>INDEX(B_InitialSituation!$D$9:$D$153,MATCH($S20,B_InitialSituation!$S$9:$S$153,0))</f>
      </c>
      <c r="E20" s="983"/>
      <c r="F20" s="983"/>
      <c r="G20" s="984"/>
      <c r="H20" s="468"/>
      <c r="I20" s="488">
        <f>IF(H20="","",H20*INDEX(B_InitialSituation!$I$9:$I$153,MATCH($Q20,B_InitialSituation!$Q$9:$Q$153,0)))</f>
      </c>
      <c r="J20" s="488">
        <f>IF(H20="","",H20*INDEX(B_InitialSituation!$J$9:$J$153,MATCH($R20,B_InitialSituation!$R$9:$R$153,0)))</f>
      </c>
      <c r="K20" s="469">
        <f t="shared" si="0"/>
      </c>
      <c r="L20" s="488">
        <f>IF(K20="","",K20*INDEX(B_InitialSituation!$I$9:$I$153,MATCH($Q20,B_InitialSituation!$Q$9:$Q$153,0)))</f>
      </c>
      <c r="M20" s="488">
        <f>IF(K20="","",K20*INDEX(B_InitialSituation!$J$9:$J$153,MATCH($R20,B_InitialSituation!$R$9:$R$153,0)))</f>
      </c>
      <c r="N20" s="470">
        <f t="shared" si="1"/>
      </c>
      <c r="O20" s="9"/>
      <c r="P20" s="9"/>
      <c r="Q20" s="451" t="str">
        <f aca="true" t="shared" si="3" ref="Q20:Q35">EUconst_CNTR_CAPINI&amp;$V20&amp;"_"&amp;$D20</f>
        <v>CAPINI_1_</v>
      </c>
      <c r="R20" s="451" t="str">
        <f aca="true" t="shared" si="4" ref="R20:R35">EUconst_CNTR_HAL&amp;$V20&amp;"_"&amp;$D20</f>
        <v>HAL_1_</v>
      </c>
      <c r="S20" s="451" t="str">
        <f aca="true" t="shared" si="5" ref="S20:S35">EUconst_CNTR_HAL&amp;$V20&amp;"_"&amp;$C20</f>
        <v>HAL_1_1</v>
      </c>
      <c r="T20" s="451" t="str">
        <f t="shared" si="2"/>
        <v>FInitial_1_</v>
      </c>
      <c r="U20" s="451" t="str">
        <f aca="true" t="shared" si="6" ref="U20:U35">EUconst_CNTR_CAPINI&amp;$D20</f>
        <v>CAPINI_</v>
      </c>
      <c r="V20" s="453">
        <f aca="true" t="shared" si="7" ref="V20:V36">V19</f>
        <v>1</v>
      </c>
      <c r="W20" s="423"/>
      <c r="X20" s="423"/>
      <c r="Y20" s="423"/>
      <c r="Z20" s="448" t="b">
        <f>INDEX(B_InitialSituation!$X$9:$X$153,MATCH($T20,B_InitialSituation!$Q$9:$Q$153,0))</f>
        <v>0</v>
      </c>
      <c r="AA20" s="423"/>
    </row>
    <row r="21" spans="1:27" s="522" customFormat="1" ht="12.75" customHeight="1">
      <c r="A21" s="4"/>
      <c r="B21" s="5"/>
      <c r="C21" s="29">
        <v>2</v>
      </c>
      <c r="D21" s="985">
        <f>INDEX(B_InitialSituation!$D$9:$D$153,MATCH($S21,B_InitialSituation!$S$9:$S$153,0))</f>
      </c>
      <c r="E21" s="986"/>
      <c r="F21" s="986"/>
      <c r="G21" s="987"/>
      <c r="H21" s="471"/>
      <c r="I21" s="489">
        <f>IF(H21="","",H21*INDEX(B_InitialSituation!$I$9:$I$153,MATCH($Q21,B_InitialSituation!$Q$9:$Q$153,0)))</f>
      </c>
      <c r="J21" s="489">
        <f>IF(H21="","",H21*INDEX(B_InitialSituation!$J$9:$J$153,MATCH($R21,B_InitialSituation!$R$9:$R$153,0)))</f>
      </c>
      <c r="K21" s="472">
        <f t="shared" si="0"/>
      </c>
      <c r="L21" s="489">
        <f>IF(K21="","",K21*INDEX(B_InitialSituation!$I$9:$I$153,MATCH($Q21,B_InitialSituation!$Q$9:$Q$153,0)))</f>
      </c>
      <c r="M21" s="489">
        <f>IF(K21="","",K21*INDEX(B_InitialSituation!$J$9:$J$153,MATCH($R21,B_InitialSituation!$R$9:$R$153,0)))</f>
      </c>
      <c r="N21" s="473">
        <f t="shared" si="1"/>
      </c>
      <c r="O21" s="9"/>
      <c r="P21" s="9"/>
      <c r="Q21" s="451" t="str">
        <f t="shared" si="3"/>
        <v>CAPINI_1_</v>
      </c>
      <c r="R21" s="451" t="str">
        <f t="shared" si="4"/>
        <v>HAL_1_</v>
      </c>
      <c r="S21" s="451" t="str">
        <f t="shared" si="5"/>
        <v>HAL_1_2</v>
      </c>
      <c r="T21" s="451" t="str">
        <f t="shared" si="2"/>
        <v>FInitial_1_</v>
      </c>
      <c r="U21" s="451" t="str">
        <f t="shared" si="6"/>
        <v>CAPINI_</v>
      </c>
      <c r="V21" s="453">
        <f t="shared" si="7"/>
        <v>1</v>
      </c>
      <c r="W21" s="423"/>
      <c r="X21" s="423"/>
      <c r="Y21" s="423"/>
      <c r="Z21" s="448" t="b">
        <f>INDEX(B_InitialSituation!$X$9:$X$153,MATCH($T21,B_InitialSituation!$Q$9:$Q$153,0))</f>
        <v>0</v>
      </c>
      <c r="AA21" s="423"/>
    </row>
    <row r="22" spans="1:27" s="522" customFormat="1" ht="12.75" customHeight="1">
      <c r="A22" s="4"/>
      <c r="B22" s="5"/>
      <c r="C22" s="29">
        <v>3</v>
      </c>
      <c r="D22" s="985">
        <f>INDEX(B_InitialSituation!$D$9:$D$153,MATCH($S22,B_InitialSituation!$S$9:$S$153,0))</f>
      </c>
      <c r="E22" s="986"/>
      <c r="F22" s="986"/>
      <c r="G22" s="987"/>
      <c r="H22" s="471"/>
      <c r="I22" s="489">
        <f>IF(H22="","",H22*INDEX(B_InitialSituation!$I$9:$I$153,MATCH($Q22,B_InitialSituation!$Q$9:$Q$153,0)))</f>
      </c>
      <c r="J22" s="489">
        <f>IF(H22="","",H22*INDEX(B_InitialSituation!$J$9:$J$153,MATCH($R22,B_InitialSituation!$R$9:$R$153,0)))</f>
      </c>
      <c r="K22" s="472">
        <f t="shared" si="0"/>
      </c>
      <c r="L22" s="489">
        <f>IF(K22="","",K22*INDEX(B_InitialSituation!$I$9:$I$153,MATCH($Q22,B_InitialSituation!$Q$9:$Q$153,0)))</f>
      </c>
      <c r="M22" s="489">
        <f>IF(K22="","",K22*INDEX(B_InitialSituation!$J$9:$J$153,MATCH($R22,B_InitialSituation!$R$9:$R$153,0)))</f>
      </c>
      <c r="N22" s="473">
        <f t="shared" si="1"/>
      </c>
      <c r="O22" s="9"/>
      <c r="P22" s="9"/>
      <c r="Q22" s="451" t="str">
        <f t="shared" si="3"/>
        <v>CAPINI_1_</v>
      </c>
      <c r="R22" s="451" t="str">
        <f t="shared" si="4"/>
        <v>HAL_1_</v>
      </c>
      <c r="S22" s="451" t="str">
        <f t="shared" si="5"/>
        <v>HAL_1_3</v>
      </c>
      <c r="T22" s="451" t="str">
        <f t="shared" si="2"/>
        <v>FInitial_1_</v>
      </c>
      <c r="U22" s="451" t="str">
        <f t="shared" si="6"/>
        <v>CAPINI_</v>
      </c>
      <c r="V22" s="453">
        <f t="shared" si="7"/>
        <v>1</v>
      </c>
      <c r="W22" s="423"/>
      <c r="X22" s="423"/>
      <c r="Y22" s="423"/>
      <c r="Z22" s="448" t="b">
        <f>INDEX(B_InitialSituation!$X$9:$X$153,MATCH($T22,B_InitialSituation!$Q$9:$Q$153,0))</f>
        <v>0</v>
      </c>
      <c r="AA22" s="423"/>
    </row>
    <row r="23" spans="1:27" s="522" customFormat="1" ht="12.75" customHeight="1">
      <c r="A23" s="4"/>
      <c r="B23" s="5"/>
      <c r="C23" s="29">
        <v>4</v>
      </c>
      <c r="D23" s="985">
        <f>INDEX(B_InitialSituation!$D$9:$D$153,MATCH($S23,B_InitialSituation!$S$9:$S$153,0))</f>
      </c>
      <c r="E23" s="986"/>
      <c r="F23" s="986"/>
      <c r="G23" s="987"/>
      <c r="H23" s="471"/>
      <c r="I23" s="489">
        <f>IF(H23="","",H23*INDEX(B_InitialSituation!$I$9:$I$153,MATCH($Q23,B_InitialSituation!$Q$9:$Q$153,0)))</f>
      </c>
      <c r="J23" s="489">
        <f>IF(H23="","",H23*INDEX(B_InitialSituation!$J$9:$J$153,MATCH($R23,B_InitialSituation!$R$9:$R$153,0)))</f>
      </c>
      <c r="K23" s="472">
        <f t="shared" si="0"/>
      </c>
      <c r="L23" s="489">
        <f>IF(K23="","",K23*INDEX(B_InitialSituation!$I$9:$I$153,MATCH($Q23,B_InitialSituation!$Q$9:$Q$153,0)))</f>
      </c>
      <c r="M23" s="489">
        <f>IF(K23="","",K23*INDEX(B_InitialSituation!$J$9:$J$153,MATCH($R23,B_InitialSituation!$R$9:$R$153,0)))</f>
      </c>
      <c r="N23" s="473">
        <f t="shared" si="1"/>
      </c>
      <c r="O23" s="9"/>
      <c r="P23" s="9"/>
      <c r="Q23" s="451" t="str">
        <f t="shared" si="3"/>
        <v>CAPINI_1_</v>
      </c>
      <c r="R23" s="451" t="str">
        <f t="shared" si="4"/>
        <v>HAL_1_</v>
      </c>
      <c r="S23" s="451" t="str">
        <f t="shared" si="5"/>
        <v>HAL_1_4</v>
      </c>
      <c r="T23" s="451" t="str">
        <f t="shared" si="2"/>
        <v>FInitial_1_</v>
      </c>
      <c r="U23" s="451" t="str">
        <f t="shared" si="6"/>
        <v>CAPINI_</v>
      </c>
      <c r="V23" s="453">
        <f t="shared" si="7"/>
        <v>1</v>
      </c>
      <c r="W23" s="423"/>
      <c r="X23" s="423"/>
      <c r="Y23" s="423"/>
      <c r="Z23" s="448" t="b">
        <f>INDEX(B_InitialSituation!$X$9:$X$153,MATCH($T23,B_InitialSituation!$Q$9:$Q$153,0))</f>
        <v>0</v>
      </c>
      <c r="AA23" s="423"/>
    </row>
    <row r="24" spans="1:27" s="522" customFormat="1" ht="12.75" customHeight="1">
      <c r="A24" s="4"/>
      <c r="B24" s="5"/>
      <c r="C24" s="29">
        <v>5</v>
      </c>
      <c r="D24" s="985">
        <f>INDEX(B_InitialSituation!$D$9:$D$153,MATCH($S24,B_InitialSituation!$S$9:$S$153,0))</f>
      </c>
      <c r="E24" s="986"/>
      <c r="F24" s="986"/>
      <c r="G24" s="987"/>
      <c r="H24" s="471"/>
      <c r="I24" s="489">
        <f>IF(H24="","",H24*INDEX(B_InitialSituation!$I$9:$I$153,MATCH($Q24,B_InitialSituation!$Q$9:$Q$153,0)))</f>
      </c>
      <c r="J24" s="489">
        <f>IF(H24="","",H24*INDEX(B_InitialSituation!$J$9:$J$153,MATCH($R24,B_InitialSituation!$R$9:$R$153,0)))</f>
      </c>
      <c r="K24" s="472">
        <f t="shared" si="0"/>
      </c>
      <c r="L24" s="489">
        <f>IF(K24="","",K24*INDEX(B_InitialSituation!$I$9:$I$153,MATCH($Q24,B_InitialSituation!$Q$9:$Q$153,0)))</f>
      </c>
      <c r="M24" s="489">
        <f>IF(K24="","",K24*INDEX(B_InitialSituation!$J$9:$J$153,MATCH($R24,B_InitialSituation!$R$9:$R$153,0)))</f>
      </c>
      <c r="N24" s="473">
        <f t="shared" si="1"/>
      </c>
      <c r="O24" s="9"/>
      <c r="P24" s="9"/>
      <c r="Q24" s="451" t="str">
        <f t="shared" si="3"/>
        <v>CAPINI_1_</v>
      </c>
      <c r="R24" s="451" t="str">
        <f t="shared" si="4"/>
        <v>HAL_1_</v>
      </c>
      <c r="S24" s="451" t="str">
        <f t="shared" si="5"/>
        <v>HAL_1_5</v>
      </c>
      <c r="T24" s="451" t="str">
        <f t="shared" si="2"/>
        <v>FInitial_1_</v>
      </c>
      <c r="U24" s="451" t="str">
        <f t="shared" si="6"/>
        <v>CAPINI_</v>
      </c>
      <c r="V24" s="453">
        <f t="shared" si="7"/>
        <v>1</v>
      </c>
      <c r="W24" s="423"/>
      <c r="X24" s="423"/>
      <c r="Y24" s="423"/>
      <c r="Z24" s="448" t="b">
        <f>INDEX(B_InitialSituation!$X$9:$X$153,MATCH($T24,B_InitialSituation!$Q$9:$Q$153,0))</f>
        <v>0</v>
      </c>
      <c r="AA24" s="423"/>
    </row>
    <row r="25" spans="1:27" s="522" customFormat="1" ht="12.75" customHeight="1">
      <c r="A25" s="4"/>
      <c r="B25" s="5"/>
      <c r="C25" s="29">
        <v>6</v>
      </c>
      <c r="D25" s="985">
        <f>INDEX(B_InitialSituation!$D$9:$D$153,MATCH($S25,B_InitialSituation!$S$9:$S$153,0))</f>
      </c>
      <c r="E25" s="986"/>
      <c r="F25" s="986"/>
      <c r="G25" s="987"/>
      <c r="H25" s="471"/>
      <c r="I25" s="489">
        <f>IF(H25="","",H25*INDEX(B_InitialSituation!$I$9:$I$153,MATCH($Q25,B_InitialSituation!$Q$9:$Q$153,0)))</f>
      </c>
      <c r="J25" s="489">
        <f>IF(H25="","",H25*INDEX(B_InitialSituation!$J$9:$J$153,MATCH($R25,B_InitialSituation!$R$9:$R$153,0)))</f>
      </c>
      <c r="K25" s="472">
        <f t="shared" si="0"/>
      </c>
      <c r="L25" s="489">
        <f>IF(K25="","",K25*INDEX(B_InitialSituation!$I$9:$I$153,MATCH($Q25,B_InitialSituation!$Q$9:$Q$153,0)))</f>
      </c>
      <c r="M25" s="489">
        <f>IF(K25="","",K25*INDEX(B_InitialSituation!$J$9:$J$153,MATCH($R25,B_InitialSituation!$R$9:$R$153,0)))</f>
      </c>
      <c r="N25" s="473">
        <f t="shared" si="1"/>
      </c>
      <c r="O25" s="9"/>
      <c r="P25" s="9"/>
      <c r="Q25" s="451" t="str">
        <f t="shared" si="3"/>
        <v>CAPINI_1_</v>
      </c>
      <c r="R25" s="451" t="str">
        <f t="shared" si="4"/>
        <v>HAL_1_</v>
      </c>
      <c r="S25" s="451" t="str">
        <f t="shared" si="5"/>
        <v>HAL_1_6</v>
      </c>
      <c r="T25" s="451" t="str">
        <f t="shared" si="2"/>
        <v>FInitial_1_</v>
      </c>
      <c r="U25" s="451" t="str">
        <f t="shared" si="6"/>
        <v>CAPINI_</v>
      </c>
      <c r="V25" s="453">
        <f t="shared" si="7"/>
        <v>1</v>
      </c>
      <c r="W25" s="423"/>
      <c r="X25" s="423"/>
      <c r="Y25" s="423"/>
      <c r="Z25" s="448" t="b">
        <f>INDEX(B_InitialSituation!$X$9:$X$153,MATCH($T25,B_InitialSituation!$Q$9:$Q$153,0))</f>
        <v>0</v>
      </c>
      <c r="AA25" s="423"/>
    </row>
    <row r="26" spans="1:27" s="522" customFormat="1" ht="12.75" customHeight="1">
      <c r="A26" s="4"/>
      <c r="B26" s="5"/>
      <c r="C26" s="29">
        <v>7</v>
      </c>
      <c r="D26" s="985">
        <f>INDEX(B_InitialSituation!$D$9:$D$153,MATCH($S26,B_InitialSituation!$S$9:$S$153,0))</f>
      </c>
      <c r="E26" s="986"/>
      <c r="F26" s="986"/>
      <c r="G26" s="987"/>
      <c r="H26" s="471"/>
      <c r="I26" s="489">
        <f>IF(H26="","",H26*INDEX(B_InitialSituation!$I$9:$I$153,MATCH($Q26,B_InitialSituation!$Q$9:$Q$153,0)))</f>
      </c>
      <c r="J26" s="489">
        <f>IF(H26="","",H26*INDEX(B_InitialSituation!$J$9:$J$153,MATCH($R26,B_InitialSituation!$R$9:$R$153,0)))</f>
      </c>
      <c r="K26" s="472">
        <f t="shared" si="0"/>
      </c>
      <c r="L26" s="489">
        <f>IF(K26="","",K26*INDEX(B_InitialSituation!$I$9:$I$153,MATCH($Q26,B_InitialSituation!$Q$9:$Q$153,0)))</f>
      </c>
      <c r="M26" s="489">
        <f>IF(K26="","",K26*INDEX(B_InitialSituation!$J$9:$J$153,MATCH($R26,B_InitialSituation!$R$9:$R$153,0)))</f>
      </c>
      <c r="N26" s="473">
        <f t="shared" si="1"/>
      </c>
      <c r="O26" s="9"/>
      <c r="P26" s="9"/>
      <c r="Q26" s="451" t="str">
        <f t="shared" si="3"/>
        <v>CAPINI_1_</v>
      </c>
      <c r="R26" s="451" t="str">
        <f t="shared" si="4"/>
        <v>HAL_1_</v>
      </c>
      <c r="S26" s="451" t="str">
        <f t="shared" si="5"/>
        <v>HAL_1_7</v>
      </c>
      <c r="T26" s="451" t="str">
        <f t="shared" si="2"/>
        <v>FInitial_1_</v>
      </c>
      <c r="U26" s="451" t="str">
        <f t="shared" si="6"/>
        <v>CAPINI_</v>
      </c>
      <c r="V26" s="453">
        <f t="shared" si="7"/>
        <v>1</v>
      </c>
      <c r="W26" s="423"/>
      <c r="X26" s="423"/>
      <c r="Y26" s="423"/>
      <c r="Z26" s="448" t="b">
        <f>INDEX(B_InitialSituation!$X$9:$X$153,MATCH($T26,B_InitialSituation!$Q$9:$Q$153,0))</f>
        <v>0</v>
      </c>
      <c r="AA26" s="423"/>
    </row>
    <row r="27" spans="1:27" s="522" customFormat="1" ht="12.75" customHeight="1">
      <c r="A27" s="4"/>
      <c r="B27" s="5"/>
      <c r="C27" s="29">
        <v>8</v>
      </c>
      <c r="D27" s="985">
        <f>INDEX(B_InitialSituation!$D$9:$D$153,MATCH($S27,B_InitialSituation!$S$9:$S$153,0))</f>
      </c>
      <c r="E27" s="986"/>
      <c r="F27" s="986"/>
      <c r="G27" s="987"/>
      <c r="H27" s="471"/>
      <c r="I27" s="489">
        <f>IF(H27="","",H27*INDEX(B_InitialSituation!$I$9:$I$153,MATCH($Q27,B_InitialSituation!$Q$9:$Q$153,0)))</f>
      </c>
      <c r="J27" s="489">
        <f>IF(H27="","",H27*INDEX(B_InitialSituation!$J$9:$J$153,MATCH($R27,B_InitialSituation!$R$9:$R$153,0)))</f>
      </c>
      <c r="K27" s="472">
        <f t="shared" si="0"/>
      </c>
      <c r="L27" s="489">
        <f>IF(K27="","",K27*INDEX(B_InitialSituation!$I$9:$I$153,MATCH($Q27,B_InitialSituation!$Q$9:$Q$153,0)))</f>
      </c>
      <c r="M27" s="489">
        <f>IF(K27="","",K27*INDEX(B_InitialSituation!$J$9:$J$153,MATCH($R27,B_InitialSituation!$R$9:$R$153,0)))</f>
      </c>
      <c r="N27" s="473">
        <f t="shared" si="1"/>
      </c>
      <c r="O27" s="9"/>
      <c r="P27" s="9"/>
      <c r="Q27" s="451" t="str">
        <f t="shared" si="3"/>
        <v>CAPINI_1_</v>
      </c>
      <c r="R27" s="451" t="str">
        <f t="shared" si="4"/>
        <v>HAL_1_</v>
      </c>
      <c r="S27" s="451" t="str">
        <f t="shared" si="5"/>
        <v>HAL_1_8</v>
      </c>
      <c r="T27" s="451" t="str">
        <f t="shared" si="2"/>
        <v>FInitial_1_</v>
      </c>
      <c r="U27" s="451" t="str">
        <f t="shared" si="6"/>
        <v>CAPINI_</v>
      </c>
      <c r="V27" s="453">
        <f t="shared" si="7"/>
        <v>1</v>
      </c>
      <c r="W27" s="423"/>
      <c r="X27" s="423"/>
      <c r="Y27" s="423"/>
      <c r="Z27" s="448" t="b">
        <f>INDEX(B_InitialSituation!$X$9:$X$153,MATCH($T27,B_InitialSituation!$Q$9:$Q$153,0))</f>
        <v>0</v>
      </c>
      <c r="AA27" s="423"/>
    </row>
    <row r="28" spans="1:27" s="522" customFormat="1" ht="12.75" customHeight="1">
      <c r="A28" s="4"/>
      <c r="B28" s="5"/>
      <c r="C28" s="29">
        <v>9</v>
      </c>
      <c r="D28" s="985">
        <f>INDEX(B_InitialSituation!$D$9:$D$153,MATCH($S28,B_InitialSituation!$S$9:$S$153,0))</f>
      </c>
      <c r="E28" s="986"/>
      <c r="F28" s="986"/>
      <c r="G28" s="987"/>
      <c r="H28" s="471"/>
      <c r="I28" s="489">
        <f>IF(H28="","",H28*INDEX(B_InitialSituation!$I$9:$I$153,MATCH($Q28,B_InitialSituation!$Q$9:$Q$153,0)))</f>
      </c>
      <c r="J28" s="489">
        <f>IF(H28="","",H28*INDEX(B_InitialSituation!$J$9:$J$153,MATCH($R28,B_InitialSituation!$R$9:$R$153,0)))</f>
      </c>
      <c r="K28" s="472">
        <f t="shared" si="0"/>
      </c>
      <c r="L28" s="489">
        <f>IF(K28="","",K28*INDEX(B_InitialSituation!$I$9:$I$153,MATCH($Q28,B_InitialSituation!$Q$9:$Q$153,0)))</f>
      </c>
      <c r="M28" s="489">
        <f>IF(K28="","",K28*INDEX(B_InitialSituation!$J$9:$J$153,MATCH($R28,B_InitialSituation!$R$9:$R$153,0)))</f>
      </c>
      <c r="N28" s="473">
        <f t="shared" si="1"/>
      </c>
      <c r="O28" s="9"/>
      <c r="P28" s="9"/>
      <c r="Q28" s="451" t="str">
        <f t="shared" si="3"/>
        <v>CAPINI_1_</v>
      </c>
      <c r="R28" s="451" t="str">
        <f t="shared" si="4"/>
        <v>HAL_1_</v>
      </c>
      <c r="S28" s="451" t="str">
        <f t="shared" si="5"/>
        <v>HAL_1_9</v>
      </c>
      <c r="T28" s="451" t="str">
        <f t="shared" si="2"/>
        <v>FInitial_1_</v>
      </c>
      <c r="U28" s="451" t="str">
        <f t="shared" si="6"/>
        <v>CAPINI_</v>
      </c>
      <c r="V28" s="453">
        <f t="shared" si="7"/>
        <v>1</v>
      </c>
      <c r="W28" s="423"/>
      <c r="X28" s="423"/>
      <c r="Y28" s="423"/>
      <c r="Z28" s="448" t="b">
        <f>INDEX(B_InitialSituation!$X$9:$X$153,MATCH($T28,B_InitialSituation!$Q$9:$Q$153,0))</f>
        <v>0</v>
      </c>
      <c r="AA28" s="423"/>
    </row>
    <row r="29" spans="1:27" s="522" customFormat="1" ht="12.75" customHeight="1">
      <c r="A29" s="4"/>
      <c r="B29" s="5"/>
      <c r="C29" s="25">
        <v>10</v>
      </c>
      <c r="D29" s="1002">
        <f>INDEX(B_InitialSituation!$D$9:$D$153,MATCH($S29,B_InitialSituation!$S$9:$S$153,0))</f>
      </c>
      <c r="E29" s="1003"/>
      <c r="F29" s="1003"/>
      <c r="G29" s="1004"/>
      <c r="H29" s="474"/>
      <c r="I29" s="490">
        <f>IF(H29="","",H29*INDEX(B_InitialSituation!$I$9:$I$153,MATCH($Q29,B_InitialSituation!$Q$9:$Q$153,0)))</f>
      </c>
      <c r="J29" s="490">
        <f>IF(H29="","",H29*INDEX(B_InitialSituation!$J$9:$J$153,MATCH($R29,B_InitialSituation!$R$9:$R$153,0)))</f>
      </c>
      <c r="K29" s="475">
        <f t="shared" si="0"/>
      </c>
      <c r="L29" s="490">
        <f>IF(K29="","",K29*INDEX(B_InitialSituation!$I$9:$I$153,MATCH($Q29,B_InitialSituation!$Q$9:$Q$153,0)))</f>
      </c>
      <c r="M29" s="490">
        <f>IF(K29="","",K29*INDEX(B_InitialSituation!$J$9:$J$153,MATCH($R29,B_InitialSituation!$R$9:$R$153,0)))</f>
      </c>
      <c r="N29" s="476">
        <f t="shared" si="1"/>
      </c>
      <c r="O29" s="9"/>
      <c r="P29" s="9"/>
      <c r="Q29" s="451" t="str">
        <f t="shared" si="3"/>
        <v>CAPINI_1_</v>
      </c>
      <c r="R29" s="451" t="str">
        <f t="shared" si="4"/>
        <v>HAL_1_</v>
      </c>
      <c r="S29" s="451" t="str">
        <f t="shared" si="5"/>
        <v>HAL_1_10</v>
      </c>
      <c r="T29" s="451" t="str">
        <f t="shared" si="2"/>
        <v>FInitial_1_</v>
      </c>
      <c r="U29" s="451" t="str">
        <f t="shared" si="6"/>
        <v>CAPINI_</v>
      </c>
      <c r="V29" s="453">
        <f t="shared" si="7"/>
        <v>1</v>
      </c>
      <c r="W29" s="423"/>
      <c r="X29" s="423"/>
      <c r="Y29" s="423"/>
      <c r="Z29" s="448" t="b">
        <f>INDEX(B_InitialSituation!$X$9:$X$153,MATCH($T29,B_InitialSituation!$Q$9:$Q$153,0))</f>
        <v>0</v>
      </c>
      <c r="AA29" s="423"/>
    </row>
    <row r="30" spans="1:27" s="522" customFormat="1" ht="25.5" customHeight="1">
      <c r="A30" s="4"/>
      <c r="B30" s="5"/>
      <c r="C30" s="29">
        <v>11</v>
      </c>
      <c r="D30" s="999" t="str">
        <f aca="true" t="shared" si="8" ref="D30:D35">INDEX(EUconst_FallBackListNames,C30-10)</f>
        <v>Sous-installation avec référentiel de chaleur, CL (risque de fuite de carbone)</v>
      </c>
      <c r="E30" s="1000"/>
      <c r="F30" s="1000"/>
      <c r="G30" s="1001"/>
      <c r="H30" s="468"/>
      <c r="I30" s="491">
        <f>IF(H30="","",H30*INDEX(B_InitialSituation!$I$9:$I$153,MATCH($Q30,B_InitialSituation!$Q$9:$Q$153,0)))</f>
      </c>
      <c r="J30" s="491">
        <f>IF(H30="","",H30*INDEX(B_InitialSituation!$J$9:$J$153,MATCH($R30,B_InitialSituation!$R$9:$R$153,0)))</f>
      </c>
      <c r="K30" s="469">
        <f t="shared" si="0"/>
      </c>
      <c r="L30" s="491">
        <f>IF(K30="","",K30*INDEX(B_InitialSituation!$I$9:$I$153,MATCH($Q30,B_InitialSituation!$Q$9:$Q$153,0)))</f>
      </c>
      <c r="M30" s="491">
        <f>IF(K30="","",K30*INDEX(B_InitialSituation!$J$9:$J$153,MATCH($R30,B_InitialSituation!$R$9:$R$153,0)))</f>
      </c>
      <c r="N30" s="470">
        <f t="shared" si="1"/>
      </c>
      <c r="O30" s="9"/>
      <c r="P30" s="9"/>
      <c r="Q30" s="451" t="str">
        <f t="shared" si="3"/>
        <v>CAPINI_1_Sous-installation avec référentiel de chaleur, CL (risque de fuite de carbone)</v>
      </c>
      <c r="R30" s="451" t="str">
        <f t="shared" si="4"/>
        <v>HAL_1_Sous-installation avec référentiel de chaleur, CL (risque de fuite de carbone)</v>
      </c>
      <c r="S30" s="451" t="str">
        <f t="shared" si="5"/>
        <v>HAL_1_11</v>
      </c>
      <c r="T30" s="451" t="str">
        <f t="shared" si="2"/>
        <v>FInitial_1_Sous-installation avec référentiel de chaleur, CL (risque de fuite de carbone)</v>
      </c>
      <c r="U30" s="451" t="str">
        <f t="shared" si="6"/>
        <v>CAPINI_Sous-installation avec référentiel de chaleur, CL (risque de fuite de carbone)</v>
      </c>
      <c r="V30" s="453">
        <f t="shared" si="7"/>
        <v>1</v>
      </c>
      <c r="W30" s="423"/>
      <c r="X30" s="423"/>
      <c r="Y30" s="423"/>
      <c r="Z30" s="448" t="b">
        <f>INDEX(B_InitialSituation!$X$9:$X$153,MATCH($T30,B_InitialSituation!$Q$9:$Q$153,0))</f>
        <v>0</v>
      </c>
      <c r="AA30" s="423"/>
    </row>
    <row r="31" spans="1:27" s="522" customFormat="1" ht="25.5" customHeight="1">
      <c r="A31" s="4"/>
      <c r="B31" s="5"/>
      <c r="C31" s="29">
        <v>12</v>
      </c>
      <c r="D31" s="990" t="str">
        <f t="shared" si="8"/>
        <v>Sous-installation avec référentiel de chaleur, non-CL (sans risque de fuite de carbone)</v>
      </c>
      <c r="E31" s="991"/>
      <c r="F31" s="991"/>
      <c r="G31" s="992"/>
      <c r="H31" s="471"/>
      <c r="I31" s="489">
        <f>IF(H31="","",H31*INDEX(B_InitialSituation!$I$9:$I$153,MATCH($Q31,B_InitialSituation!$Q$9:$Q$153,0)))</f>
      </c>
      <c r="J31" s="489">
        <f>IF(H31="","",H31*INDEX(B_InitialSituation!$J$9:$J$153,MATCH($R31,B_InitialSituation!$R$9:$R$153,0)))</f>
      </c>
      <c r="K31" s="472">
        <f t="shared" si="0"/>
      </c>
      <c r="L31" s="489">
        <f>IF(K31="","",K31*INDEX(B_InitialSituation!$I$9:$I$153,MATCH($Q31,B_InitialSituation!$Q$9:$Q$153,0)))</f>
      </c>
      <c r="M31" s="489">
        <f>IF(K31="","",K31*INDEX(B_InitialSituation!$J$9:$J$153,MATCH($R31,B_InitialSituation!$R$9:$R$153,0)))</f>
      </c>
      <c r="N31" s="473">
        <f t="shared" si="1"/>
      </c>
      <c r="O31" s="9"/>
      <c r="P31" s="9"/>
      <c r="Q31" s="451" t="str">
        <f t="shared" si="3"/>
        <v>CAPINI_1_Sous-installation avec référentiel de chaleur, non-CL (sans risque de fuite de carbone)</v>
      </c>
      <c r="R31" s="451" t="str">
        <f t="shared" si="4"/>
        <v>HAL_1_Sous-installation avec référentiel de chaleur, non-CL (sans risque de fuite de carbone)</v>
      </c>
      <c r="S31" s="451" t="str">
        <f t="shared" si="5"/>
        <v>HAL_1_12</v>
      </c>
      <c r="T31" s="451" t="str">
        <f t="shared" si="2"/>
        <v>FInitial_1_Sous-installation avec référentiel de chaleur, non-CL (sans risque de fuite de carbone)</v>
      </c>
      <c r="U31" s="451" t="str">
        <f t="shared" si="6"/>
        <v>CAPINI_Sous-installation avec référentiel de chaleur, non-CL (sans risque de fuite de carbone)</v>
      </c>
      <c r="V31" s="453">
        <f t="shared" si="7"/>
        <v>1</v>
      </c>
      <c r="W31" s="423"/>
      <c r="X31" s="423"/>
      <c r="Y31" s="423"/>
      <c r="Z31" s="448" t="b">
        <f>INDEX(B_InitialSituation!$X$9:$X$153,MATCH($T31,B_InitialSituation!$Q$9:$Q$153,0))</f>
        <v>0</v>
      </c>
      <c r="AA31" s="423"/>
    </row>
    <row r="32" spans="1:27" s="522" customFormat="1" ht="25.5" customHeight="1">
      <c r="A32" s="4"/>
      <c r="B32" s="5"/>
      <c r="C32" s="29">
        <v>13</v>
      </c>
      <c r="D32" s="990" t="str">
        <f t="shared" si="8"/>
        <v>Sous-installation avec référentiel de combustibles, CL</v>
      </c>
      <c r="E32" s="991"/>
      <c r="F32" s="991"/>
      <c r="G32" s="992"/>
      <c r="H32" s="471"/>
      <c r="I32" s="489">
        <f>IF(H32="","",H32*INDEX(B_InitialSituation!$I$9:$I$153,MATCH($Q32,B_InitialSituation!$Q$9:$Q$153,0)))</f>
      </c>
      <c r="J32" s="489">
        <f>IF(H32="","",H32*INDEX(B_InitialSituation!$J$9:$J$153,MATCH($R32,B_InitialSituation!$R$9:$R$153,0)))</f>
      </c>
      <c r="K32" s="472">
        <f t="shared" si="0"/>
      </c>
      <c r="L32" s="489">
        <f>IF(K32="","",K32*INDEX(B_InitialSituation!$I$9:$I$153,MATCH($Q32,B_InitialSituation!$Q$9:$Q$153,0)))</f>
      </c>
      <c r="M32" s="489">
        <f>IF(K32="","",K32*INDEX(B_InitialSituation!$J$9:$J$153,MATCH($R32,B_InitialSituation!$R$9:$R$153,0)))</f>
      </c>
      <c r="N32" s="473">
        <f t="shared" si="1"/>
      </c>
      <c r="O32" s="9"/>
      <c r="P32" s="9"/>
      <c r="Q32" s="451" t="str">
        <f t="shared" si="3"/>
        <v>CAPINI_1_Sous-installation avec référentiel de combustibles, CL</v>
      </c>
      <c r="R32" s="451" t="str">
        <f t="shared" si="4"/>
        <v>HAL_1_Sous-installation avec référentiel de combustibles, CL</v>
      </c>
      <c r="S32" s="451" t="str">
        <f t="shared" si="5"/>
        <v>HAL_1_13</v>
      </c>
      <c r="T32" s="451" t="str">
        <f t="shared" si="2"/>
        <v>FInitial_1_Sous-installation avec référentiel de combustibles, CL</v>
      </c>
      <c r="U32" s="451" t="str">
        <f t="shared" si="6"/>
        <v>CAPINI_Sous-installation avec référentiel de combustibles, CL</v>
      </c>
      <c r="V32" s="453">
        <f t="shared" si="7"/>
        <v>1</v>
      </c>
      <c r="W32" s="423"/>
      <c r="X32" s="423"/>
      <c r="Y32" s="423"/>
      <c r="Z32" s="448" t="b">
        <f>INDEX(B_InitialSituation!$X$9:$X$153,MATCH($T32,B_InitialSituation!$Q$9:$Q$153,0))</f>
        <v>0</v>
      </c>
      <c r="AA32" s="423"/>
    </row>
    <row r="33" spans="1:27" s="522" customFormat="1" ht="25.5" customHeight="1">
      <c r="A33" s="4"/>
      <c r="B33" s="5"/>
      <c r="C33" s="29">
        <v>14</v>
      </c>
      <c r="D33" s="990" t="str">
        <f t="shared" si="8"/>
        <v>Sous-installation avec référentiel de combustibles, non-CL</v>
      </c>
      <c r="E33" s="991"/>
      <c r="F33" s="991"/>
      <c r="G33" s="992"/>
      <c r="H33" s="471"/>
      <c r="I33" s="489">
        <f>IF(H33="","",H33*INDEX(B_InitialSituation!$I$9:$I$153,MATCH($Q33,B_InitialSituation!$Q$9:$Q$153,0)))</f>
      </c>
      <c r="J33" s="489">
        <f>IF(H33="","",H33*INDEX(B_InitialSituation!$J$9:$J$153,MATCH($R33,B_InitialSituation!$R$9:$R$153,0)))</f>
      </c>
      <c r="K33" s="472">
        <f t="shared" si="0"/>
      </c>
      <c r="L33" s="489">
        <f>IF(K33="","",K33*INDEX(B_InitialSituation!$I$9:$I$153,MATCH($Q33,B_InitialSituation!$Q$9:$Q$153,0)))</f>
      </c>
      <c r="M33" s="489">
        <f>IF(K33="","",K33*INDEX(B_InitialSituation!$J$9:$J$153,MATCH($R33,B_InitialSituation!$R$9:$R$153,0)))</f>
      </c>
      <c r="N33" s="473">
        <f t="shared" si="1"/>
      </c>
      <c r="O33" s="9"/>
      <c r="P33" s="9"/>
      <c r="Q33" s="451" t="str">
        <f t="shared" si="3"/>
        <v>CAPINI_1_Sous-installation avec référentiel de combustibles, non-CL</v>
      </c>
      <c r="R33" s="451" t="str">
        <f t="shared" si="4"/>
        <v>HAL_1_Sous-installation avec référentiel de combustibles, non-CL</v>
      </c>
      <c r="S33" s="451" t="str">
        <f t="shared" si="5"/>
        <v>HAL_1_14</v>
      </c>
      <c r="T33" s="451" t="str">
        <f t="shared" si="2"/>
        <v>FInitial_1_Sous-installation avec référentiel de combustibles, non-CL</v>
      </c>
      <c r="U33" s="451" t="str">
        <f t="shared" si="6"/>
        <v>CAPINI_Sous-installation avec référentiel de combustibles, non-CL</v>
      </c>
      <c r="V33" s="453">
        <f t="shared" si="7"/>
        <v>1</v>
      </c>
      <c r="W33" s="423"/>
      <c r="X33" s="423"/>
      <c r="Y33" s="423"/>
      <c r="Z33" s="448" t="b">
        <f>INDEX(B_InitialSituation!$X$9:$X$153,MATCH($T33,B_InitialSituation!$Q$9:$Q$153,0))</f>
        <v>0</v>
      </c>
      <c r="AA33" s="423"/>
    </row>
    <row r="34" spans="1:27" s="522" customFormat="1" ht="12.75" customHeight="1">
      <c r="A34" s="4"/>
      <c r="B34" s="5"/>
      <c r="C34" s="29">
        <v>15</v>
      </c>
      <c r="D34" s="990" t="str">
        <f t="shared" si="8"/>
        <v>Sous-installation avec émissions de procédé, CL</v>
      </c>
      <c r="E34" s="991"/>
      <c r="F34" s="991"/>
      <c r="G34" s="992"/>
      <c r="H34" s="471"/>
      <c r="I34" s="489">
        <f>IF(H34="","",H34*INDEX(B_InitialSituation!$I$9:$I$153,MATCH($Q34,B_InitialSituation!$Q$9:$Q$153,0)))</f>
      </c>
      <c r="J34" s="489">
        <f>IF(H34="","",H34*INDEX(B_InitialSituation!$J$9:$J$153,MATCH($R34,B_InitialSituation!$R$9:$R$153,0)))</f>
      </c>
      <c r="K34" s="472">
        <f t="shared" si="0"/>
      </c>
      <c r="L34" s="489">
        <f>IF(K34="","",K34*INDEX(B_InitialSituation!$I$9:$I$153,MATCH($Q34,B_InitialSituation!$Q$9:$Q$153,0)))</f>
      </c>
      <c r="M34" s="489">
        <f>IF(K34="","",K34*INDEX(B_InitialSituation!$J$9:$J$153,MATCH($R34,B_InitialSituation!$R$9:$R$153,0)))</f>
      </c>
      <c r="N34" s="473">
        <f t="shared" si="1"/>
      </c>
      <c r="O34" s="9"/>
      <c r="P34" s="9"/>
      <c r="Q34" s="451" t="str">
        <f t="shared" si="3"/>
        <v>CAPINI_1_Sous-installation avec émissions de procédé, CL</v>
      </c>
      <c r="R34" s="451" t="str">
        <f t="shared" si="4"/>
        <v>HAL_1_Sous-installation avec émissions de procédé, CL</v>
      </c>
      <c r="S34" s="451" t="str">
        <f t="shared" si="5"/>
        <v>HAL_1_15</v>
      </c>
      <c r="T34" s="451" t="str">
        <f t="shared" si="2"/>
        <v>FInitial_1_Sous-installation avec émissions de procédé, CL</v>
      </c>
      <c r="U34" s="451" t="str">
        <f t="shared" si="6"/>
        <v>CAPINI_Sous-installation avec émissions de procédé, CL</v>
      </c>
      <c r="V34" s="453">
        <f t="shared" si="7"/>
        <v>1</v>
      </c>
      <c r="W34" s="423"/>
      <c r="X34" s="423"/>
      <c r="Y34" s="423"/>
      <c r="Z34" s="448" t="b">
        <f>INDEX(B_InitialSituation!$X$9:$X$153,MATCH($T34,B_InitialSituation!$Q$9:$Q$153,0))</f>
        <v>0</v>
      </c>
      <c r="AA34" s="423"/>
    </row>
    <row r="35" spans="1:27" s="522" customFormat="1" ht="25.5" customHeight="1">
      <c r="A35" s="4"/>
      <c r="B35" s="5"/>
      <c r="C35" s="25">
        <v>16</v>
      </c>
      <c r="D35" s="990" t="str">
        <f t="shared" si="8"/>
        <v>Sous-installation avec émissions de procédé, non-CL</v>
      </c>
      <c r="E35" s="991"/>
      <c r="F35" s="991"/>
      <c r="G35" s="992"/>
      <c r="H35" s="477"/>
      <c r="I35" s="492">
        <f>IF(H35="","",H35*INDEX(B_InitialSituation!$I$9:$I$153,MATCH($Q35,B_InitialSituation!$Q$9:$Q$153,0)))</f>
      </c>
      <c r="J35" s="492">
        <f>IF(H35="","",H35*INDEX(B_InitialSituation!$J$9:$J$153,MATCH($R35,B_InitialSituation!$R$9:$R$153,0)))</f>
      </c>
      <c r="K35" s="478">
        <f t="shared" si="0"/>
      </c>
      <c r="L35" s="492">
        <f>IF(K35="","",K35*INDEX(B_InitialSituation!$I$9:$I$153,MATCH($Q35,B_InitialSituation!$Q$9:$Q$153,0)))</f>
      </c>
      <c r="M35" s="492">
        <f>IF(K35="","",K35*INDEX(B_InitialSituation!$J$9:$J$153,MATCH($R35,B_InitialSituation!$R$9:$R$153,0)))</f>
      </c>
      <c r="N35" s="479">
        <f t="shared" si="1"/>
      </c>
      <c r="O35" s="9"/>
      <c r="P35" s="9"/>
      <c r="Q35" s="451" t="str">
        <f t="shared" si="3"/>
        <v>CAPINI_1_Sous-installation avec émissions de procédé, non-CL</v>
      </c>
      <c r="R35" s="451" t="str">
        <f t="shared" si="4"/>
        <v>HAL_1_Sous-installation avec émissions de procédé, non-CL</v>
      </c>
      <c r="S35" s="451" t="str">
        <f t="shared" si="5"/>
        <v>HAL_1_16</v>
      </c>
      <c r="T35" s="451" t="str">
        <f t="shared" si="2"/>
        <v>FInitial_1_Sous-installation avec émissions de procédé, non-CL</v>
      </c>
      <c r="U35" s="451" t="str">
        <f t="shared" si="6"/>
        <v>CAPINI_Sous-installation avec émissions de procédé, non-CL</v>
      </c>
      <c r="V35" s="453">
        <f t="shared" si="7"/>
        <v>1</v>
      </c>
      <c r="W35" s="423"/>
      <c r="X35" s="423"/>
      <c r="Y35" s="423"/>
      <c r="Z35" s="448" t="b">
        <f>INDEX(B_InitialSituation!$X$9:$X$153,MATCH($T35,B_InitialSituation!$Q$9:$Q$153,0))</f>
        <v>0</v>
      </c>
      <c r="AA35" s="423"/>
    </row>
    <row r="36" spans="1:27" s="522" customFormat="1" ht="12.75" customHeight="1" thickBot="1">
      <c r="A36" s="4"/>
      <c r="B36" s="5"/>
      <c r="C36" s="413">
        <v>17</v>
      </c>
      <c r="D36" s="993" t="str">
        <f>EUconst_PrivateHouseholds</f>
        <v>Ménages privés</v>
      </c>
      <c r="E36" s="994"/>
      <c r="F36" s="994"/>
      <c r="G36" s="995"/>
      <c r="H36" s="461"/>
      <c r="I36" s="480"/>
      <c r="J36" s="480"/>
      <c r="K36" s="464">
        <f t="shared" si="0"/>
      </c>
      <c r="L36" s="480"/>
      <c r="M36" s="480"/>
      <c r="N36" s="467">
        <f t="shared" si="1"/>
      </c>
      <c r="O36" s="9"/>
      <c r="P36" s="9"/>
      <c r="Q36" s="441"/>
      <c r="R36" s="441"/>
      <c r="S36" s="423"/>
      <c r="T36" s="451" t="str">
        <f t="shared" si="2"/>
        <v>FInitial_1_Ménages privés</v>
      </c>
      <c r="U36" s="423"/>
      <c r="V36" s="454">
        <f t="shared" si="7"/>
        <v>1</v>
      </c>
      <c r="W36" s="423"/>
      <c r="X36" s="423"/>
      <c r="Y36" s="423"/>
      <c r="Z36" s="448" t="b">
        <f>INDEX(B_InitialSituation!$X$9:$X$153,MATCH($T36,B_InitialSituation!$Q$9:$Q$153,0))</f>
        <v>0</v>
      </c>
      <c r="AA36" s="423"/>
    </row>
    <row r="37" spans="1:27" s="522" customFormat="1" ht="12.75" customHeight="1">
      <c r="A37" s="4"/>
      <c r="B37" s="5"/>
      <c r="C37" s="7"/>
      <c r="D37" s="5"/>
      <c r="E37" s="5"/>
      <c r="F37" s="5"/>
      <c r="G37" s="5"/>
      <c r="H37" s="5"/>
      <c r="I37" s="5"/>
      <c r="J37" s="5"/>
      <c r="K37" s="5"/>
      <c r="L37" s="5"/>
      <c r="M37" s="9"/>
      <c r="N37" s="9"/>
      <c r="O37" s="9"/>
      <c r="P37" s="9"/>
      <c r="Q37" s="441"/>
      <c r="R37" s="441"/>
      <c r="S37" s="423"/>
      <c r="T37" s="423"/>
      <c r="U37" s="423"/>
      <c r="V37" s="423"/>
      <c r="W37" s="423"/>
      <c r="X37" s="423"/>
      <c r="Y37" s="423"/>
      <c r="Z37" s="423"/>
      <c r="AA37" s="423"/>
    </row>
    <row r="38" spans="1:27" s="522" customFormat="1" ht="12.75" customHeight="1">
      <c r="A38" s="4"/>
      <c r="B38" s="5"/>
      <c r="C38" s="7"/>
      <c r="D38" s="5"/>
      <c r="E38" s="5"/>
      <c r="F38" s="5"/>
      <c r="G38" s="5"/>
      <c r="H38" s="5"/>
      <c r="I38" s="5"/>
      <c r="J38" s="5"/>
      <c r="K38" s="5"/>
      <c r="L38" s="5"/>
      <c r="M38" s="9"/>
      <c r="N38" s="9"/>
      <c r="O38" s="9"/>
      <c r="P38" s="9"/>
      <c r="Q38" s="441"/>
      <c r="R38" s="423"/>
      <c r="S38" s="423"/>
      <c r="T38" s="423"/>
      <c r="U38" s="423"/>
      <c r="V38" s="423"/>
      <c r="W38" s="423"/>
      <c r="X38" s="423"/>
      <c r="Y38" s="423"/>
      <c r="Z38" s="423"/>
      <c r="AA38" s="423"/>
    </row>
    <row r="39" spans="1:27" s="525" customFormat="1" ht="18" customHeight="1">
      <c r="A39" s="207"/>
      <c r="B39" s="333"/>
      <c r="C39" s="337">
        <v>2</v>
      </c>
      <c r="D39" s="988" t="str">
        <f>Translations!$B$1495&amp;" "&amp;C39</f>
        <v>Transfert d’installation 2</v>
      </c>
      <c r="E39" s="988"/>
      <c r="F39" s="988"/>
      <c r="G39" s="988"/>
      <c r="H39" s="988"/>
      <c r="I39" s="988"/>
      <c r="J39" s="988"/>
      <c r="K39" s="988"/>
      <c r="L39" s="988"/>
      <c r="M39" s="988"/>
      <c r="N39" s="988"/>
      <c r="O39" s="333"/>
      <c r="P39" s="333"/>
      <c r="Q39" s="445"/>
      <c r="R39" s="445"/>
      <c r="S39" s="445"/>
      <c r="T39" s="445"/>
      <c r="U39" s="445"/>
      <c r="V39" s="445"/>
      <c r="W39" s="445"/>
      <c r="X39" s="445"/>
      <c r="Y39" s="445"/>
      <c r="Z39" s="445"/>
      <c r="AA39" s="445"/>
    </row>
    <row r="40" spans="1:27" s="522" customFormat="1" ht="15">
      <c r="A40" s="4"/>
      <c r="B40" s="18"/>
      <c r="C40" s="16"/>
      <c r="D40" s="791" t="str">
        <f>Translations!$B$1589</f>
        <v>Veuillez indiquer ici la part des quotas, des capacités et du niveau d’activité qui sont transférés de la deuxième installation.</v>
      </c>
      <c r="E40" s="742"/>
      <c r="F40" s="742"/>
      <c r="G40" s="742"/>
      <c r="H40" s="742"/>
      <c r="I40" s="742"/>
      <c r="J40" s="742"/>
      <c r="K40" s="742"/>
      <c r="L40" s="742"/>
      <c r="M40" s="742"/>
      <c r="N40" s="7"/>
      <c r="O40" s="7"/>
      <c r="P40" s="18"/>
      <c r="Q40" s="423"/>
      <c r="R40" s="423"/>
      <c r="S40" s="423"/>
      <c r="T40" s="423"/>
      <c r="U40" s="423"/>
      <c r="V40" s="423"/>
      <c r="W40" s="423"/>
      <c r="X40" s="423"/>
      <c r="Y40" s="423"/>
      <c r="Z40" s="423"/>
      <c r="AA40" s="423"/>
    </row>
    <row r="41" spans="1:27" s="522" customFormat="1" ht="4.5" customHeight="1">
      <c r="A41" s="4"/>
      <c r="B41" s="18"/>
      <c r="C41" s="16"/>
      <c r="D41" s="7"/>
      <c r="E41" s="7"/>
      <c r="F41" s="7"/>
      <c r="G41" s="7"/>
      <c r="H41" s="7"/>
      <c r="I41" s="7"/>
      <c r="J41" s="7"/>
      <c r="K41" s="7"/>
      <c r="L41" s="7"/>
      <c r="M41" s="7"/>
      <c r="N41" s="7"/>
      <c r="O41" s="7"/>
      <c r="P41" s="18"/>
      <c r="Q41" s="423"/>
      <c r="R41" s="423"/>
      <c r="S41" s="423"/>
      <c r="T41" s="423"/>
      <c r="U41" s="423"/>
      <c r="V41" s="423"/>
      <c r="W41" s="423"/>
      <c r="X41" s="423"/>
      <c r="Y41" s="423"/>
      <c r="Z41" s="423"/>
      <c r="AA41" s="423"/>
    </row>
    <row r="42" spans="1:27" s="522" customFormat="1" ht="13.5" thickBot="1">
      <c r="A42" s="4"/>
      <c r="B42" s="18"/>
      <c r="C42" s="7"/>
      <c r="D42" s="7"/>
      <c r="E42" s="7"/>
      <c r="F42" s="7"/>
      <c r="G42" s="7"/>
      <c r="H42" s="382" t="str">
        <f>Translations!$B$1562</f>
        <v>de:</v>
      </c>
      <c r="I42" s="7"/>
      <c r="J42" s="7"/>
      <c r="K42" s="7"/>
      <c r="L42" s="7"/>
      <c r="M42" s="7"/>
      <c r="N42" s="18"/>
      <c r="O42" s="3"/>
      <c r="P42" s="18"/>
      <c r="Q42" s="423"/>
      <c r="R42" s="423"/>
      <c r="S42" s="423"/>
      <c r="T42" s="423"/>
      <c r="U42" s="423"/>
      <c r="V42" s="423"/>
      <c r="W42" s="423"/>
      <c r="X42" s="423"/>
      <c r="Y42" s="423"/>
      <c r="Z42" s="423"/>
      <c r="AA42" s="423"/>
    </row>
    <row r="43" spans="1:27" s="525" customFormat="1" ht="25.5" customHeight="1" thickBot="1">
      <c r="A43" s="207"/>
      <c r="B43" s="208"/>
      <c r="C43" s="335"/>
      <c r="D43" s="208"/>
      <c r="E43" s="7"/>
      <c r="F43" s="7"/>
      <c r="G43" s="7"/>
      <c r="H43" s="974">
        <f>INDEX(A_InstallationData!$J$200:$J$273,MATCH(C39,A_InstallationData!$R$200:$R$273,0))</f>
      </c>
      <c r="I43" s="975"/>
      <c r="J43" s="976"/>
      <c r="K43" s="7"/>
      <c r="L43" s="7"/>
      <c r="M43" s="7"/>
      <c r="N43" s="338"/>
      <c r="O43" s="9"/>
      <c r="P43" s="9"/>
      <c r="Q43" s="458">
        <f>C39</f>
        <v>2</v>
      </c>
      <c r="R43" s="445"/>
      <c r="S43" s="445"/>
      <c r="T43" s="445"/>
      <c r="U43" s="445"/>
      <c r="V43" s="445"/>
      <c r="W43" s="445"/>
      <c r="X43" s="445"/>
      <c r="Y43" s="445"/>
      <c r="Z43" s="445"/>
      <c r="AA43" s="445"/>
    </row>
    <row r="44" spans="1:27" s="522" customFormat="1" ht="4.5" customHeight="1">
      <c r="A44" s="4"/>
      <c r="B44" s="5"/>
      <c r="C44" s="7"/>
      <c r="D44" s="5"/>
      <c r="E44" s="5"/>
      <c r="F44" s="5"/>
      <c r="G44" s="7"/>
      <c r="H44" s="5"/>
      <c r="I44" s="324"/>
      <c r="J44" s="5"/>
      <c r="K44" s="5"/>
      <c r="L44" s="5"/>
      <c r="M44" s="9"/>
      <c r="N44" s="315"/>
      <c r="O44" s="9"/>
      <c r="P44" s="9"/>
      <c r="Q44" s="441"/>
      <c r="R44" s="423"/>
      <c r="S44" s="423"/>
      <c r="T44" s="423"/>
      <c r="U44" s="423"/>
      <c r="V44" s="423"/>
      <c r="W44" s="423"/>
      <c r="X44" s="423"/>
      <c r="Y44" s="423"/>
      <c r="Z44" s="423"/>
      <c r="AA44" s="423"/>
    </row>
    <row r="45" spans="1:27" s="522" customFormat="1" ht="12.75" customHeight="1" thickBot="1">
      <c r="A45" s="4"/>
      <c r="B45" s="5"/>
      <c r="C45" s="7"/>
      <c r="D45" s="5"/>
      <c r="E45" s="5"/>
      <c r="F45" s="5"/>
      <c r="G45" s="7"/>
      <c r="H45" s="416" t="str">
        <f>Translations!$B$1563</f>
        <v>à:</v>
      </c>
      <c r="I45" s="417"/>
      <c r="J45" s="41"/>
      <c r="K45" s="416" t="str">
        <f>Translations!$B$1563</f>
        <v>à:</v>
      </c>
      <c r="L45" s="7"/>
      <c r="M45" s="7"/>
      <c r="N45" s="315"/>
      <c r="O45" s="9"/>
      <c r="P45" s="9"/>
      <c r="Q45" s="441"/>
      <c r="R45" s="423"/>
      <c r="S45" s="423"/>
      <c r="T45" s="423"/>
      <c r="U45" s="423"/>
      <c r="V45" s="423"/>
      <c r="W45" s="423"/>
      <c r="X45" s="423"/>
      <c r="Y45" s="423"/>
      <c r="Z45" s="423"/>
      <c r="AA45" s="423"/>
    </row>
    <row r="46" spans="1:27" s="522" customFormat="1" ht="25.5" customHeight="1" thickBot="1">
      <c r="A46" s="4"/>
      <c r="B46" s="5"/>
      <c r="C46" s="5"/>
      <c r="D46" s="5"/>
      <c r="E46" s="5"/>
      <c r="F46" s="5"/>
      <c r="G46" s="7"/>
      <c r="H46" s="974">
        <f>IF($H43="","",INDEX(A_InstallationData!$J$200:$J$273,MATCH(R46,A_InstallationData!$R$200:$R$273,0)))</f>
      </c>
      <c r="I46" s="975"/>
      <c r="J46" s="976"/>
      <c r="K46" s="974">
        <f>IF($H43="","",INDEX(A_InstallationData!$J$200:$J$273,MATCH(U46,A_InstallationData!$R$200:$R$273,0)))</f>
      </c>
      <c r="L46" s="975"/>
      <c r="M46" s="976"/>
      <c r="N46" s="9"/>
      <c r="O46" s="9"/>
      <c r="P46" s="9"/>
      <c r="Q46" s="441"/>
      <c r="R46" s="495">
        <v>3</v>
      </c>
      <c r="S46" s="423"/>
      <c r="T46" s="423"/>
      <c r="U46" s="495">
        <v>4</v>
      </c>
      <c r="V46" s="449" t="s">
        <v>548</v>
      </c>
      <c r="W46" s="423"/>
      <c r="X46" s="423"/>
      <c r="Y46" s="423"/>
      <c r="Z46" s="423"/>
      <c r="AA46" s="423"/>
    </row>
    <row r="47" spans="1:27" s="522" customFormat="1" ht="38.25" customHeight="1" thickBot="1">
      <c r="A47" s="4"/>
      <c r="B47" s="5"/>
      <c r="C47" s="20"/>
      <c r="D47" s="977" t="str">
        <f>Translations!$B$440</f>
        <v>Sous-installation</v>
      </c>
      <c r="E47" s="978"/>
      <c r="F47" s="978"/>
      <c r="G47" s="326"/>
      <c r="H47" s="418" t="str">
        <f>Translations!$B$1564</f>
        <v>Part</v>
      </c>
      <c r="I47" s="349" t="str">
        <f>Translations!$B$1565</f>
        <v>Capacité installée</v>
      </c>
      <c r="J47" s="420" t="str">
        <f>Translations!$B$1566</f>
        <v>Niveau d'activité annuel</v>
      </c>
      <c r="K47" s="421" t="str">
        <f>Translations!$B$1564</f>
        <v>Part</v>
      </c>
      <c r="L47" s="66" t="str">
        <f>Translations!$B$1565</f>
        <v>Capacité installée</v>
      </c>
      <c r="M47" s="422" t="str">
        <f>Translations!$B$1566</f>
        <v>Niveau d'activité annuel</v>
      </c>
      <c r="N47" s="587" t="str">
        <f>Translations!$B$1103</f>
        <v>message d'erreur</v>
      </c>
      <c r="O47" s="9"/>
      <c r="P47" s="9"/>
      <c r="Q47" s="441"/>
      <c r="R47" s="423"/>
      <c r="S47" s="423"/>
      <c r="T47" s="423"/>
      <c r="U47" s="423"/>
      <c r="V47" s="449"/>
      <c r="W47" s="423"/>
      <c r="X47" s="423"/>
      <c r="Y47" s="423"/>
      <c r="Z47" s="447" t="s">
        <v>299</v>
      </c>
      <c r="AA47" s="423"/>
    </row>
    <row r="48" spans="1:27" s="522" customFormat="1" ht="12.75" customHeight="1" thickBot="1">
      <c r="A48" s="4"/>
      <c r="B48" s="5"/>
      <c r="C48" s="419">
        <v>0</v>
      </c>
      <c r="D48" s="979" t="str">
        <f>Translations!$B$1447</f>
        <v>Phase antérieure au début</v>
      </c>
      <c r="E48" s="980"/>
      <c r="F48" s="980"/>
      <c r="G48" s="981"/>
      <c r="H48" s="461"/>
      <c r="I48" s="462"/>
      <c r="J48" s="463"/>
      <c r="K48" s="464">
        <f aca="true" t="shared" si="9" ref="K48:K65">IF(H48="","",1-H48)</f>
      </c>
      <c r="L48" s="465"/>
      <c r="M48" s="466"/>
      <c r="N48" s="467">
        <f aca="true" t="shared" si="10" ref="N48:N65">IF(AND($Z48=TRUE,H48=""),EUconst_Incomplete,IF(H48&gt;1,EUconst_Inconsistent,""))</f>
      </c>
      <c r="O48" s="9"/>
      <c r="P48" s="481"/>
      <c r="Q48" s="441"/>
      <c r="R48" s="423"/>
      <c r="S48" s="423"/>
      <c r="T48" s="451" t="str">
        <f aca="true" t="shared" si="11" ref="T48:T65">EUconst_CNTR_Finitial&amp;$V48&amp;"_"&amp;$D48</f>
        <v>FInitial_2_Phase antérieure au début</v>
      </c>
      <c r="U48" s="423"/>
      <c r="V48" s="452">
        <f>C39</f>
        <v>2</v>
      </c>
      <c r="W48" s="423"/>
      <c r="X48" s="423"/>
      <c r="Y48" s="423"/>
      <c r="Z48" s="448" t="b">
        <f>INDEX(B_InitialSituation!$X$9:$X$153,MATCH($T48,B_InitialSituation!$Q$9:$Q$153,0))</f>
        <v>0</v>
      </c>
      <c r="AA48" s="423"/>
    </row>
    <row r="49" spans="1:27" s="522" customFormat="1" ht="12.75" customHeight="1">
      <c r="A49" s="4"/>
      <c r="B49" s="5"/>
      <c r="C49" s="29">
        <v>1</v>
      </c>
      <c r="D49" s="982">
        <f>INDEX(B_InitialSituation!$D$9:$D$153,MATCH($S49,B_InitialSituation!$S$9:$S$153,0))</f>
      </c>
      <c r="E49" s="983"/>
      <c r="F49" s="983"/>
      <c r="G49" s="984"/>
      <c r="H49" s="468"/>
      <c r="I49" s="488">
        <f>IF(H49="","",H49*INDEX(B_InitialSituation!$I$9:$I$153,MATCH($Q49,B_InitialSituation!$Q$9:$Q$153,0)))</f>
      </c>
      <c r="J49" s="488">
        <f>IF(H49="","",H49*INDEX(B_InitialSituation!$J$9:$J$153,MATCH($R49,B_InitialSituation!$R$9:$R$153,0)))</f>
      </c>
      <c r="K49" s="469">
        <f t="shared" si="9"/>
      </c>
      <c r="L49" s="488">
        <f>IF(K49="","",K49*INDEX(B_InitialSituation!$I$9:$I$153,MATCH($Q49,B_InitialSituation!$Q$9:$Q$153,0)))</f>
      </c>
      <c r="M49" s="488">
        <f>IF(K49="","",K49*INDEX(B_InitialSituation!$J$9:$J$153,MATCH($R49,B_InitialSituation!$R$9:$R$153,0)))</f>
      </c>
      <c r="N49" s="470">
        <f t="shared" si="10"/>
      </c>
      <c r="O49" s="9"/>
      <c r="P49" s="9"/>
      <c r="Q49" s="451" t="str">
        <f aca="true" t="shared" si="12" ref="Q49:Q64">EUconst_CNTR_CAPINI&amp;$V49&amp;"_"&amp;$D49</f>
        <v>CAPINI_2_</v>
      </c>
      <c r="R49" s="451" t="str">
        <f aca="true" t="shared" si="13" ref="R49:R64">EUconst_CNTR_HAL&amp;$V49&amp;"_"&amp;$D49</f>
        <v>HAL_2_</v>
      </c>
      <c r="S49" s="451" t="str">
        <f aca="true" t="shared" si="14" ref="S49:S64">EUconst_CNTR_HAL&amp;$V49&amp;"_"&amp;$C49</f>
        <v>HAL_2_1</v>
      </c>
      <c r="T49" s="451" t="str">
        <f t="shared" si="11"/>
        <v>FInitial_2_</v>
      </c>
      <c r="U49" s="451" t="str">
        <f aca="true" t="shared" si="15" ref="U49:U64">EUconst_CNTR_CAPINI&amp;$D49</f>
        <v>CAPINI_</v>
      </c>
      <c r="V49" s="453">
        <f aca="true" t="shared" si="16" ref="V49:V65">V48</f>
        <v>2</v>
      </c>
      <c r="W49" s="423"/>
      <c r="X49" s="423"/>
      <c r="Y49" s="423"/>
      <c r="Z49" s="448" t="b">
        <f>INDEX(B_InitialSituation!$X$9:$X$153,MATCH($T49,B_InitialSituation!$Q$9:$Q$153,0))</f>
        <v>0</v>
      </c>
      <c r="AA49" s="423"/>
    </row>
    <row r="50" spans="1:27" s="522" customFormat="1" ht="12.75" customHeight="1">
      <c r="A50" s="4"/>
      <c r="B50" s="5"/>
      <c r="C50" s="29">
        <v>2</v>
      </c>
      <c r="D50" s="985">
        <f>INDEX(B_InitialSituation!$D$9:$D$153,MATCH($S50,B_InitialSituation!$S$9:$S$153,0))</f>
      </c>
      <c r="E50" s="986"/>
      <c r="F50" s="986"/>
      <c r="G50" s="987"/>
      <c r="H50" s="471"/>
      <c r="I50" s="489">
        <f>IF(H50="","",H50*INDEX(B_InitialSituation!$I$9:$I$153,MATCH($Q50,B_InitialSituation!$Q$9:$Q$153,0)))</f>
      </c>
      <c r="J50" s="489">
        <f>IF(H50="","",H50*INDEX(B_InitialSituation!$J$9:$J$153,MATCH($R50,B_InitialSituation!$R$9:$R$153,0)))</f>
      </c>
      <c r="K50" s="472">
        <f t="shared" si="9"/>
      </c>
      <c r="L50" s="489">
        <f>IF(K50="","",K50*INDEX(B_InitialSituation!$I$9:$I$153,MATCH($Q50,B_InitialSituation!$Q$9:$Q$153,0)))</f>
      </c>
      <c r="M50" s="489">
        <f>IF(K50="","",K50*INDEX(B_InitialSituation!$J$9:$J$153,MATCH($R50,B_InitialSituation!$R$9:$R$153,0)))</f>
      </c>
      <c r="N50" s="473">
        <f t="shared" si="10"/>
      </c>
      <c r="O50" s="9"/>
      <c r="P50" s="9"/>
      <c r="Q50" s="451" t="str">
        <f t="shared" si="12"/>
        <v>CAPINI_2_</v>
      </c>
      <c r="R50" s="451" t="str">
        <f t="shared" si="13"/>
        <v>HAL_2_</v>
      </c>
      <c r="S50" s="451" t="str">
        <f t="shared" si="14"/>
        <v>HAL_2_2</v>
      </c>
      <c r="T50" s="451" t="str">
        <f t="shared" si="11"/>
        <v>FInitial_2_</v>
      </c>
      <c r="U50" s="451" t="str">
        <f t="shared" si="15"/>
        <v>CAPINI_</v>
      </c>
      <c r="V50" s="453">
        <f t="shared" si="16"/>
        <v>2</v>
      </c>
      <c r="W50" s="423"/>
      <c r="X50" s="423"/>
      <c r="Y50" s="423"/>
      <c r="Z50" s="448" t="b">
        <f>INDEX(B_InitialSituation!$X$9:$X$153,MATCH($T50,B_InitialSituation!$Q$9:$Q$153,0))</f>
        <v>0</v>
      </c>
      <c r="AA50" s="423"/>
    </row>
    <row r="51" spans="1:27" s="522" customFormat="1" ht="12.75" customHeight="1">
      <c r="A51" s="4"/>
      <c r="B51" s="5"/>
      <c r="C51" s="29">
        <v>3</v>
      </c>
      <c r="D51" s="985">
        <f>INDEX(B_InitialSituation!$D$9:$D$153,MATCH($S51,B_InitialSituation!$S$9:$S$153,0))</f>
      </c>
      <c r="E51" s="986"/>
      <c r="F51" s="986"/>
      <c r="G51" s="987"/>
      <c r="H51" s="471"/>
      <c r="I51" s="489">
        <f>IF(H51="","",H51*INDEX(B_InitialSituation!$I$9:$I$153,MATCH($Q51,B_InitialSituation!$Q$9:$Q$153,0)))</f>
      </c>
      <c r="J51" s="489">
        <f>IF(H51="","",H51*INDEX(B_InitialSituation!$J$9:$J$153,MATCH($R51,B_InitialSituation!$R$9:$R$153,0)))</f>
      </c>
      <c r="K51" s="472">
        <f t="shared" si="9"/>
      </c>
      <c r="L51" s="489">
        <f>IF(K51="","",K51*INDEX(B_InitialSituation!$I$9:$I$153,MATCH($Q51,B_InitialSituation!$Q$9:$Q$153,0)))</f>
      </c>
      <c r="M51" s="489">
        <f>IF(K51="","",K51*INDEX(B_InitialSituation!$J$9:$J$153,MATCH($R51,B_InitialSituation!$R$9:$R$153,0)))</f>
      </c>
      <c r="N51" s="473">
        <f t="shared" si="10"/>
      </c>
      <c r="O51" s="9"/>
      <c r="P51" s="9"/>
      <c r="Q51" s="451" t="str">
        <f t="shared" si="12"/>
        <v>CAPINI_2_</v>
      </c>
      <c r="R51" s="451" t="str">
        <f t="shared" si="13"/>
        <v>HAL_2_</v>
      </c>
      <c r="S51" s="451" t="str">
        <f t="shared" si="14"/>
        <v>HAL_2_3</v>
      </c>
      <c r="T51" s="451" t="str">
        <f t="shared" si="11"/>
        <v>FInitial_2_</v>
      </c>
      <c r="U51" s="451" t="str">
        <f t="shared" si="15"/>
        <v>CAPINI_</v>
      </c>
      <c r="V51" s="453">
        <f t="shared" si="16"/>
        <v>2</v>
      </c>
      <c r="W51" s="423"/>
      <c r="X51" s="423"/>
      <c r="Y51" s="423"/>
      <c r="Z51" s="448" t="b">
        <f>INDEX(B_InitialSituation!$X$9:$X$153,MATCH($T51,B_InitialSituation!$Q$9:$Q$153,0))</f>
        <v>0</v>
      </c>
      <c r="AA51" s="423"/>
    </row>
    <row r="52" spans="1:27" s="522" customFormat="1" ht="12.75" customHeight="1">
      <c r="A52" s="4"/>
      <c r="B52" s="5"/>
      <c r="C52" s="29">
        <v>4</v>
      </c>
      <c r="D52" s="985">
        <f>INDEX(B_InitialSituation!$D$9:$D$153,MATCH($S52,B_InitialSituation!$S$9:$S$153,0))</f>
      </c>
      <c r="E52" s="986"/>
      <c r="F52" s="986"/>
      <c r="G52" s="987"/>
      <c r="H52" s="471"/>
      <c r="I52" s="489">
        <f>IF(H52="","",H52*INDEX(B_InitialSituation!$I$9:$I$153,MATCH($Q52,B_InitialSituation!$Q$9:$Q$153,0)))</f>
      </c>
      <c r="J52" s="489">
        <f>IF(H52="","",H52*INDEX(B_InitialSituation!$J$9:$J$153,MATCH($R52,B_InitialSituation!$R$9:$R$153,0)))</f>
      </c>
      <c r="K52" s="472">
        <f t="shared" si="9"/>
      </c>
      <c r="L52" s="489">
        <f>IF(K52="","",K52*INDEX(B_InitialSituation!$I$9:$I$153,MATCH($Q52,B_InitialSituation!$Q$9:$Q$153,0)))</f>
      </c>
      <c r="M52" s="489">
        <f>IF(K52="","",K52*INDEX(B_InitialSituation!$J$9:$J$153,MATCH($R52,B_InitialSituation!$R$9:$R$153,0)))</f>
      </c>
      <c r="N52" s="473">
        <f t="shared" si="10"/>
      </c>
      <c r="O52" s="9"/>
      <c r="P52" s="9"/>
      <c r="Q52" s="451" t="str">
        <f t="shared" si="12"/>
        <v>CAPINI_2_</v>
      </c>
      <c r="R52" s="451" t="str">
        <f t="shared" si="13"/>
        <v>HAL_2_</v>
      </c>
      <c r="S52" s="451" t="str">
        <f t="shared" si="14"/>
        <v>HAL_2_4</v>
      </c>
      <c r="T52" s="451" t="str">
        <f t="shared" si="11"/>
        <v>FInitial_2_</v>
      </c>
      <c r="U52" s="451" t="str">
        <f t="shared" si="15"/>
        <v>CAPINI_</v>
      </c>
      <c r="V52" s="453">
        <f t="shared" si="16"/>
        <v>2</v>
      </c>
      <c r="W52" s="423"/>
      <c r="X52" s="423"/>
      <c r="Y52" s="423"/>
      <c r="Z52" s="448" t="b">
        <f>INDEX(B_InitialSituation!$X$9:$X$153,MATCH($T52,B_InitialSituation!$Q$9:$Q$153,0))</f>
        <v>0</v>
      </c>
      <c r="AA52" s="423"/>
    </row>
    <row r="53" spans="1:27" s="522" customFormat="1" ht="12.75" customHeight="1">
      <c r="A53" s="4"/>
      <c r="B53" s="5"/>
      <c r="C53" s="29">
        <v>5</v>
      </c>
      <c r="D53" s="985">
        <f>INDEX(B_InitialSituation!$D$9:$D$153,MATCH($S53,B_InitialSituation!$S$9:$S$153,0))</f>
      </c>
      <c r="E53" s="986"/>
      <c r="F53" s="986"/>
      <c r="G53" s="987"/>
      <c r="H53" s="471"/>
      <c r="I53" s="489">
        <f>IF(H53="","",H53*INDEX(B_InitialSituation!$I$9:$I$153,MATCH($Q53,B_InitialSituation!$Q$9:$Q$153,0)))</f>
      </c>
      <c r="J53" s="489">
        <f>IF(H53="","",H53*INDEX(B_InitialSituation!$J$9:$J$153,MATCH($R53,B_InitialSituation!$R$9:$R$153,0)))</f>
      </c>
      <c r="K53" s="472">
        <f t="shared" si="9"/>
      </c>
      <c r="L53" s="489">
        <f>IF(K53="","",K53*INDEX(B_InitialSituation!$I$9:$I$153,MATCH($Q53,B_InitialSituation!$Q$9:$Q$153,0)))</f>
      </c>
      <c r="M53" s="489">
        <f>IF(K53="","",K53*INDEX(B_InitialSituation!$J$9:$J$153,MATCH($R53,B_InitialSituation!$R$9:$R$153,0)))</f>
      </c>
      <c r="N53" s="473">
        <f t="shared" si="10"/>
      </c>
      <c r="O53" s="9"/>
      <c r="P53" s="9"/>
      <c r="Q53" s="451" t="str">
        <f t="shared" si="12"/>
        <v>CAPINI_2_</v>
      </c>
      <c r="R53" s="451" t="str">
        <f t="shared" si="13"/>
        <v>HAL_2_</v>
      </c>
      <c r="S53" s="451" t="str">
        <f t="shared" si="14"/>
        <v>HAL_2_5</v>
      </c>
      <c r="T53" s="451" t="str">
        <f t="shared" si="11"/>
        <v>FInitial_2_</v>
      </c>
      <c r="U53" s="451" t="str">
        <f t="shared" si="15"/>
        <v>CAPINI_</v>
      </c>
      <c r="V53" s="453">
        <f t="shared" si="16"/>
        <v>2</v>
      </c>
      <c r="W53" s="423"/>
      <c r="X53" s="423"/>
      <c r="Y53" s="423"/>
      <c r="Z53" s="448" t="b">
        <f>INDEX(B_InitialSituation!$X$9:$X$153,MATCH($T53,B_InitialSituation!$Q$9:$Q$153,0))</f>
        <v>0</v>
      </c>
      <c r="AA53" s="423"/>
    </row>
    <row r="54" spans="1:27" s="522" customFormat="1" ht="12.75" customHeight="1">
      <c r="A54" s="4"/>
      <c r="B54" s="5"/>
      <c r="C54" s="29">
        <v>6</v>
      </c>
      <c r="D54" s="985">
        <f>INDEX(B_InitialSituation!$D$9:$D$153,MATCH($S54,B_InitialSituation!$S$9:$S$153,0))</f>
      </c>
      <c r="E54" s="986"/>
      <c r="F54" s="986"/>
      <c r="G54" s="987"/>
      <c r="H54" s="471"/>
      <c r="I54" s="489">
        <f>IF(H54="","",H54*INDEX(B_InitialSituation!$I$9:$I$153,MATCH($Q54,B_InitialSituation!$Q$9:$Q$153,0)))</f>
      </c>
      <c r="J54" s="489">
        <f>IF(H54="","",H54*INDEX(B_InitialSituation!$J$9:$J$153,MATCH($R54,B_InitialSituation!$R$9:$R$153,0)))</f>
      </c>
      <c r="K54" s="472">
        <f t="shared" si="9"/>
      </c>
      <c r="L54" s="489">
        <f>IF(K54="","",K54*INDEX(B_InitialSituation!$I$9:$I$153,MATCH($Q54,B_InitialSituation!$Q$9:$Q$153,0)))</f>
      </c>
      <c r="M54" s="489">
        <f>IF(K54="","",K54*INDEX(B_InitialSituation!$J$9:$J$153,MATCH($R54,B_InitialSituation!$R$9:$R$153,0)))</f>
      </c>
      <c r="N54" s="473">
        <f t="shared" si="10"/>
      </c>
      <c r="O54" s="9"/>
      <c r="P54" s="9"/>
      <c r="Q54" s="451" t="str">
        <f t="shared" si="12"/>
        <v>CAPINI_2_</v>
      </c>
      <c r="R54" s="451" t="str">
        <f t="shared" si="13"/>
        <v>HAL_2_</v>
      </c>
      <c r="S54" s="451" t="str">
        <f t="shared" si="14"/>
        <v>HAL_2_6</v>
      </c>
      <c r="T54" s="451" t="str">
        <f t="shared" si="11"/>
        <v>FInitial_2_</v>
      </c>
      <c r="U54" s="451" t="str">
        <f t="shared" si="15"/>
        <v>CAPINI_</v>
      </c>
      <c r="V54" s="453">
        <f t="shared" si="16"/>
        <v>2</v>
      </c>
      <c r="W54" s="423"/>
      <c r="X54" s="423"/>
      <c r="Y54" s="423"/>
      <c r="Z54" s="448" t="b">
        <f>INDEX(B_InitialSituation!$X$9:$X$153,MATCH($T54,B_InitialSituation!$Q$9:$Q$153,0))</f>
        <v>0</v>
      </c>
      <c r="AA54" s="423"/>
    </row>
    <row r="55" spans="1:27" s="522" customFormat="1" ht="12.75" customHeight="1">
      <c r="A55" s="4"/>
      <c r="B55" s="5"/>
      <c r="C55" s="29">
        <v>7</v>
      </c>
      <c r="D55" s="985">
        <f>INDEX(B_InitialSituation!$D$9:$D$153,MATCH($S55,B_InitialSituation!$S$9:$S$153,0))</f>
      </c>
      <c r="E55" s="986"/>
      <c r="F55" s="986"/>
      <c r="G55" s="987"/>
      <c r="H55" s="471"/>
      <c r="I55" s="489">
        <f>IF(H55="","",H55*INDEX(B_InitialSituation!$I$9:$I$153,MATCH($Q55,B_InitialSituation!$Q$9:$Q$153,0)))</f>
      </c>
      <c r="J55" s="489">
        <f>IF(H55="","",H55*INDEX(B_InitialSituation!$J$9:$J$153,MATCH($R55,B_InitialSituation!$R$9:$R$153,0)))</f>
      </c>
      <c r="K55" s="472">
        <f t="shared" si="9"/>
      </c>
      <c r="L55" s="489">
        <f>IF(K55="","",K55*INDEX(B_InitialSituation!$I$9:$I$153,MATCH($Q55,B_InitialSituation!$Q$9:$Q$153,0)))</f>
      </c>
      <c r="M55" s="489">
        <f>IF(K55="","",K55*INDEX(B_InitialSituation!$J$9:$J$153,MATCH($R55,B_InitialSituation!$R$9:$R$153,0)))</f>
      </c>
      <c r="N55" s="473">
        <f t="shared" si="10"/>
      </c>
      <c r="O55" s="9"/>
      <c r="P55" s="9"/>
      <c r="Q55" s="451" t="str">
        <f t="shared" si="12"/>
        <v>CAPINI_2_</v>
      </c>
      <c r="R55" s="451" t="str">
        <f t="shared" si="13"/>
        <v>HAL_2_</v>
      </c>
      <c r="S55" s="451" t="str">
        <f t="shared" si="14"/>
        <v>HAL_2_7</v>
      </c>
      <c r="T55" s="451" t="str">
        <f t="shared" si="11"/>
        <v>FInitial_2_</v>
      </c>
      <c r="U55" s="451" t="str">
        <f t="shared" si="15"/>
        <v>CAPINI_</v>
      </c>
      <c r="V55" s="453">
        <f t="shared" si="16"/>
        <v>2</v>
      </c>
      <c r="W55" s="423"/>
      <c r="X55" s="423"/>
      <c r="Y55" s="423"/>
      <c r="Z55" s="448" t="b">
        <f>INDEX(B_InitialSituation!$X$9:$X$153,MATCH($T55,B_InitialSituation!$Q$9:$Q$153,0))</f>
        <v>0</v>
      </c>
      <c r="AA55" s="423"/>
    </row>
    <row r="56" spans="1:27" s="522" customFormat="1" ht="12.75" customHeight="1">
      <c r="A56" s="4"/>
      <c r="B56" s="5"/>
      <c r="C56" s="29">
        <v>8</v>
      </c>
      <c r="D56" s="985">
        <f>INDEX(B_InitialSituation!$D$9:$D$153,MATCH($S56,B_InitialSituation!$S$9:$S$153,0))</f>
      </c>
      <c r="E56" s="986"/>
      <c r="F56" s="986"/>
      <c r="G56" s="987"/>
      <c r="H56" s="471"/>
      <c r="I56" s="489">
        <f>IF(H56="","",H56*INDEX(B_InitialSituation!$I$9:$I$153,MATCH($Q56,B_InitialSituation!$Q$9:$Q$153,0)))</f>
      </c>
      <c r="J56" s="489">
        <f>IF(H56="","",H56*INDEX(B_InitialSituation!$J$9:$J$153,MATCH($R56,B_InitialSituation!$R$9:$R$153,0)))</f>
      </c>
      <c r="K56" s="472">
        <f t="shared" si="9"/>
      </c>
      <c r="L56" s="489">
        <f>IF(K56="","",K56*INDEX(B_InitialSituation!$I$9:$I$153,MATCH($Q56,B_InitialSituation!$Q$9:$Q$153,0)))</f>
      </c>
      <c r="M56" s="489">
        <f>IF(K56="","",K56*INDEX(B_InitialSituation!$J$9:$J$153,MATCH($R56,B_InitialSituation!$R$9:$R$153,0)))</f>
      </c>
      <c r="N56" s="473">
        <f t="shared" si="10"/>
      </c>
      <c r="O56" s="9"/>
      <c r="P56" s="9"/>
      <c r="Q56" s="451" t="str">
        <f t="shared" si="12"/>
        <v>CAPINI_2_</v>
      </c>
      <c r="R56" s="451" t="str">
        <f t="shared" si="13"/>
        <v>HAL_2_</v>
      </c>
      <c r="S56" s="451" t="str">
        <f t="shared" si="14"/>
        <v>HAL_2_8</v>
      </c>
      <c r="T56" s="451" t="str">
        <f t="shared" si="11"/>
        <v>FInitial_2_</v>
      </c>
      <c r="U56" s="451" t="str">
        <f t="shared" si="15"/>
        <v>CAPINI_</v>
      </c>
      <c r="V56" s="453">
        <f t="shared" si="16"/>
        <v>2</v>
      </c>
      <c r="W56" s="423"/>
      <c r="X56" s="423"/>
      <c r="Y56" s="423"/>
      <c r="Z56" s="448" t="b">
        <f>INDEX(B_InitialSituation!$X$9:$X$153,MATCH($T56,B_InitialSituation!$Q$9:$Q$153,0))</f>
        <v>0</v>
      </c>
      <c r="AA56" s="423"/>
    </row>
    <row r="57" spans="1:27" s="522" customFormat="1" ht="12.75" customHeight="1">
      <c r="A57" s="4"/>
      <c r="B57" s="5"/>
      <c r="C57" s="29">
        <v>9</v>
      </c>
      <c r="D57" s="985">
        <f>INDEX(B_InitialSituation!$D$9:$D$153,MATCH($S57,B_InitialSituation!$S$9:$S$153,0))</f>
      </c>
      <c r="E57" s="986"/>
      <c r="F57" s="986"/>
      <c r="G57" s="987"/>
      <c r="H57" s="471"/>
      <c r="I57" s="489">
        <f>IF(H57="","",H57*INDEX(B_InitialSituation!$I$9:$I$153,MATCH($Q57,B_InitialSituation!$Q$9:$Q$153,0)))</f>
      </c>
      <c r="J57" s="489">
        <f>IF(H57="","",H57*INDEX(B_InitialSituation!$J$9:$J$153,MATCH($R57,B_InitialSituation!$R$9:$R$153,0)))</f>
      </c>
      <c r="K57" s="472">
        <f t="shared" si="9"/>
      </c>
      <c r="L57" s="489">
        <f>IF(K57="","",K57*INDEX(B_InitialSituation!$I$9:$I$153,MATCH($Q57,B_InitialSituation!$Q$9:$Q$153,0)))</f>
      </c>
      <c r="M57" s="489">
        <f>IF(K57="","",K57*INDEX(B_InitialSituation!$J$9:$J$153,MATCH($R57,B_InitialSituation!$R$9:$R$153,0)))</f>
      </c>
      <c r="N57" s="473">
        <f t="shared" si="10"/>
      </c>
      <c r="O57" s="9"/>
      <c r="P57" s="9"/>
      <c r="Q57" s="451" t="str">
        <f t="shared" si="12"/>
        <v>CAPINI_2_</v>
      </c>
      <c r="R57" s="451" t="str">
        <f t="shared" si="13"/>
        <v>HAL_2_</v>
      </c>
      <c r="S57" s="451" t="str">
        <f t="shared" si="14"/>
        <v>HAL_2_9</v>
      </c>
      <c r="T57" s="451" t="str">
        <f t="shared" si="11"/>
        <v>FInitial_2_</v>
      </c>
      <c r="U57" s="451" t="str">
        <f t="shared" si="15"/>
        <v>CAPINI_</v>
      </c>
      <c r="V57" s="453">
        <f t="shared" si="16"/>
        <v>2</v>
      </c>
      <c r="W57" s="423"/>
      <c r="X57" s="423"/>
      <c r="Y57" s="423"/>
      <c r="Z57" s="448" t="b">
        <f>INDEX(B_InitialSituation!$X$9:$X$153,MATCH($T57,B_InitialSituation!$Q$9:$Q$153,0))</f>
        <v>0</v>
      </c>
      <c r="AA57" s="423"/>
    </row>
    <row r="58" spans="1:27" s="522" customFormat="1" ht="12.75" customHeight="1">
      <c r="A58" s="4"/>
      <c r="B58" s="5"/>
      <c r="C58" s="25">
        <v>10</v>
      </c>
      <c r="D58" s="1002">
        <f>INDEX(B_InitialSituation!$D$9:$D$153,MATCH($S58,B_InitialSituation!$S$9:$S$153,0))</f>
      </c>
      <c r="E58" s="1003"/>
      <c r="F58" s="1003"/>
      <c r="G58" s="1004"/>
      <c r="H58" s="474"/>
      <c r="I58" s="490">
        <f>IF(H58="","",H58*INDEX(B_InitialSituation!$I$9:$I$153,MATCH($Q58,B_InitialSituation!$Q$9:$Q$153,0)))</f>
      </c>
      <c r="J58" s="490">
        <f>IF(H58="","",H58*INDEX(B_InitialSituation!$J$9:$J$153,MATCH($R58,B_InitialSituation!$R$9:$R$153,0)))</f>
      </c>
      <c r="K58" s="475">
        <f t="shared" si="9"/>
      </c>
      <c r="L58" s="490">
        <f>IF(K58="","",K58*INDEX(B_InitialSituation!$I$9:$I$153,MATCH($Q58,B_InitialSituation!$Q$9:$Q$153,0)))</f>
      </c>
      <c r="M58" s="490">
        <f>IF(K58="","",K58*INDEX(B_InitialSituation!$J$9:$J$153,MATCH($R58,B_InitialSituation!$R$9:$R$153,0)))</f>
      </c>
      <c r="N58" s="476">
        <f t="shared" si="10"/>
      </c>
      <c r="O58" s="9"/>
      <c r="P58" s="9"/>
      <c r="Q58" s="451" t="str">
        <f t="shared" si="12"/>
        <v>CAPINI_2_</v>
      </c>
      <c r="R58" s="451" t="str">
        <f t="shared" si="13"/>
        <v>HAL_2_</v>
      </c>
      <c r="S58" s="451" t="str">
        <f t="shared" si="14"/>
        <v>HAL_2_10</v>
      </c>
      <c r="T58" s="451" t="str">
        <f t="shared" si="11"/>
        <v>FInitial_2_</v>
      </c>
      <c r="U58" s="451" t="str">
        <f t="shared" si="15"/>
        <v>CAPINI_</v>
      </c>
      <c r="V58" s="453">
        <f t="shared" si="16"/>
        <v>2</v>
      </c>
      <c r="W58" s="423"/>
      <c r="X58" s="423"/>
      <c r="Y58" s="423"/>
      <c r="Z58" s="448" t="b">
        <f>INDEX(B_InitialSituation!$X$9:$X$153,MATCH($T58,B_InitialSituation!$Q$9:$Q$153,0))</f>
        <v>0</v>
      </c>
      <c r="AA58" s="423"/>
    </row>
    <row r="59" spans="1:27" s="522" customFormat="1" ht="25.5" customHeight="1">
      <c r="A59" s="4"/>
      <c r="B59" s="5"/>
      <c r="C59" s="29">
        <v>11</v>
      </c>
      <c r="D59" s="999" t="str">
        <f aca="true" t="shared" si="17" ref="D59:D64">INDEX(EUconst_FallBackListNames,C59-10)</f>
        <v>Sous-installation avec référentiel de chaleur, CL (risque de fuite de carbone)</v>
      </c>
      <c r="E59" s="1000"/>
      <c r="F59" s="1000"/>
      <c r="G59" s="1001"/>
      <c r="H59" s="468"/>
      <c r="I59" s="491">
        <f>IF(H59="","",H59*INDEX(B_InitialSituation!$I$9:$I$153,MATCH($Q59,B_InitialSituation!$Q$9:$Q$153,0)))</f>
      </c>
      <c r="J59" s="491">
        <f>IF(H59="","",H59*INDEX(B_InitialSituation!$J$9:$J$153,MATCH($R59,B_InitialSituation!$R$9:$R$153,0)))</f>
      </c>
      <c r="K59" s="469">
        <f t="shared" si="9"/>
      </c>
      <c r="L59" s="491">
        <f>IF(K59="","",K59*INDEX(B_InitialSituation!$I$9:$I$153,MATCH($Q59,B_InitialSituation!$Q$9:$Q$153,0)))</f>
      </c>
      <c r="M59" s="491">
        <f>IF(K59="","",K59*INDEX(B_InitialSituation!$J$9:$J$153,MATCH($R59,B_InitialSituation!$R$9:$R$153,0)))</f>
      </c>
      <c r="N59" s="470">
        <f t="shared" si="10"/>
      </c>
      <c r="O59" s="9"/>
      <c r="P59" s="9"/>
      <c r="Q59" s="451" t="str">
        <f t="shared" si="12"/>
        <v>CAPINI_2_Sous-installation avec référentiel de chaleur, CL (risque de fuite de carbone)</v>
      </c>
      <c r="R59" s="451" t="str">
        <f t="shared" si="13"/>
        <v>HAL_2_Sous-installation avec référentiel de chaleur, CL (risque de fuite de carbone)</v>
      </c>
      <c r="S59" s="451" t="str">
        <f t="shared" si="14"/>
        <v>HAL_2_11</v>
      </c>
      <c r="T59" s="451" t="str">
        <f t="shared" si="11"/>
        <v>FInitial_2_Sous-installation avec référentiel de chaleur, CL (risque de fuite de carbone)</v>
      </c>
      <c r="U59" s="451" t="str">
        <f t="shared" si="15"/>
        <v>CAPINI_Sous-installation avec référentiel de chaleur, CL (risque de fuite de carbone)</v>
      </c>
      <c r="V59" s="453">
        <f t="shared" si="16"/>
        <v>2</v>
      </c>
      <c r="W59" s="423"/>
      <c r="X59" s="423"/>
      <c r="Y59" s="423"/>
      <c r="Z59" s="448" t="b">
        <f>INDEX(B_InitialSituation!$X$9:$X$153,MATCH($T59,B_InitialSituation!$Q$9:$Q$153,0))</f>
        <v>0</v>
      </c>
      <c r="AA59" s="423"/>
    </row>
    <row r="60" spans="1:27" s="522" customFormat="1" ht="25.5" customHeight="1">
      <c r="A60" s="4"/>
      <c r="B60" s="5"/>
      <c r="C60" s="29">
        <v>12</v>
      </c>
      <c r="D60" s="990" t="str">
        <f t="shared" si="17"/>
        <v>Sous-installation avec référentiel de chaleur, non-CL (sans risque de fuite de carbone)</v>
      </c>
      <c r="E60" s="991"/>
      <c r="F60" s="991"/>
      <c r="G60" s="992"/>
      <c r="H60" s="471"/>
      <c r="I60" s="489">
        <f>IF(H60="","",H60*INDEX(B_InitialSituation!$I$9:$I$153,MATCH($Q60,B_InitialSituation!$Q$9:$Q$153,0)))</f>
      </c>
      <c r="J60" s="489">
        <f>IF(H60="","",H60*INDEX(B_InitialSituation!$J$9:$J$153,MATCH($R60,B_InitialSituation!$R$9:$R$153,0)))</f>
      </c>
      <c r="K60" s="472">
        <f t="shared" si="9"/>
      </c>
      <c r="L60" s="489">
        <f>IF(K60="","",K60*INDEX(B_InitialSituation!$I$9:$I$153,MATCH($Q60,B_InitialSituation!$Q$9:$Q$153,0)))</f>
      </c>
      <c r="M60" s="489">
        <f>IF(K60="","",K60*INDEX(B_InitialSituation!$J$9:$J$153,MATCH($R60,B_InitialSituation!$R$9:$R$153,0)))</f>
      </c>
      <c r="N60" s="473">
        <f t="shared" si="10"/>
      </c>
      <c r="O60" s="9"/>
      <c r="P60" s="9"/>
      <c r="Q60" s="451" t="str">
        <f t="shared" si="12"/>
        <v>CAPINI_2_Sous-installation avec référentiel de chaleur, non-CL (sans risque de fuite de carbone)</v>
      </c>
      <c r="R60" s="451" t="str">
        <f t="shared" si="13"/>
        <v>HAL_2_Sous-installation avec référentiel de chaleur, non-CL (sans risque de fuite de carbone)</v>
      </c>
      <c r="S60" s="451" t="str">
        <f t="shared" si="14"/>
        <v>HAL_2_12</v>
      </c>
      <c r="T60" s="451" t="str">
        <f t="shared" si="11"/>
        <v>FInitial_2_Sous-installation avec référentiel de chaleur, non-CL (sans risque de fuite de carbone)</v>
      </c>
      <c r="U60" s="451" t="str">
        <f t="shared" si="15"/>
        <v>CAPINI_Sous-installation avec référentiel de chaleur, non-CL (sans risque de fuite de carbone)</v>
      </c>
      <c r="V60" s="453">
        <f t="shared" si="16"/>
        <v>2</v>
      </c>
      <c r="W60" s="423"/>
      <c r="X60" s="423"/>
      <c r="Y60" s="423"/>
      <c r="Z60" s="448" t="b">
        <f>INDEX(B_InitialSituation!$X$9:$X$153,MATCH($T60,B_InitialSituation!$Q$9:$Q$153,0))</f>
        <v>0</v>
      </c>
      <c r="AA60" s="423"/>
    </row>
    <row r="61" spans="1:27" s="522" customFormat="1" ht="25.5" customHeight="1">
      <c r="A61" s="4"/>
      <c r="B61" s="5"/>
      <c r="C61" s="29">
        <v>13</v>
      </c>
      <c r="D61" s="990" t="str">
        <f t="shared" si="17"/>
        <v>Sous-installation avec référentiel de combustibles, CL</v>
      </c>
      <c r="E61" s="991"/>
      <c r="F61" s="991"/>
      <c r="G61" s="992"/>
      <c r="H61" s="471"/>
      <c r="I61" s="489">
        <f>IF(H61="","",H61*INDEX(B_InitialSituation!$I$9:$I$153,MATCH($Q61,B_InitialSituation!$Q$9:$Q$153,0)))</f>
      </c>
      <c r="J61" s="489">
        <f>IF(H61="","",H61*INDEX(B_InitialSituation!$J$9:$J$153,MATCH($R61,B_InitialSituation!$R$9:$R$153,0)))</f>
      </c>
      <c r="K61" s="472">
        <f t="shared" si="9"/>
      </c>
      <c r="L61" s="489">
        <f>IF(K61="","",K61*INDEX(B_InitialSituation!$I$9:$I$153,MATCH($Q61,B_InitialSituation!$Q$9:$Q$153,0)))</f>
      </c>
      <c r="M61" s="489">
        <f>IF(K61="","",K61*INDEX(B_InitialSituation!$J$9:$J$153,MATCH($R61,B_InitialSituation!$R$9:$R$153,0)))</f>
      </c>
      <c r="N61" s="473">
        <f t="shared" si="10"/>
      </c>
      <c r="O61" s="9"/>
      <c r="P61" s="9"/>
      <c r="Q61" s="451" t="str">
        <f t="shared" si="12"/>
        <v>CAPINI_2_Sous-installation avec référentiel de combustibles, CL</v>
      </c>
      <c r="R61" s="451" t="str">
        <f t="shared" si="13"/>
        <v>HAL_2_Sous-installation avec référentiel de combustibles, CL</v>
      </c>
      <c r="S61" s="451" t="str">
        <f t="shared" si="14"/>
        <v>HAL_2_13</v>
      </c>
      <c r="T61" s="451" t="str">
        <f t="shared" si="11"/>
        <v>FInitial_2_Sous-installation avec référentiel de combustibles, CL</v>
      </c>
      <c r="U61" s="451" t="str">
        <f t="shared" si="15"/>
        <v>CAPINI_Sous-installation avec référentiel de combustibles, CL</v>
      </c>
      <c r="V61" s="453">
        <f t="shared" si="16"/>
        <v>2</v>
      </c>
      <c r="W61" s="423"/>
      <c r="X61" s="423"/>
      <c r="Y61" s="423"/>
      <c r="Z61" s="448" t="b">
        <f>INDEX(B_InitialSituation!$X$9:$X$153,MATCH($T61,B_InitialSituation!$Q$9:$Q$153,0))</f>
        <v>0</v>
      </c>
      <c r="AA61" s="423"/>
    </row>
    <row r="62" spans="1:27" s="522" customFormat="1" ht="25.5" customHeight="1">
      <c r="A62" s="4"/>
      <c r="B62" s="5"/>
      <c r="C62" s="29">
        <v>14</v>
      </c>
      <c r="D62" s="990" t="str">
        <f t="shared" si="17"/>
        <v>Sous-installation avec référentiel de combustibles, non-CL</v>
      </c>
      <c r="E62" s="991"/>
      <c r="F62" s="991"/>
      <c r="G62" s="992"/>
      <c r="H62" s="471"/>
      <c r="I62" s="489">
        <f>IF(H62="","",H62*INDEX(B_InitialSituation!$I$9:$I$153,MATCH($Q62,B_InitialSituation!$Q$9:$Q$153,0)))</f>
      </c>
      <c r="J62" s="489">
        <f>IF(H62="","",H62*INDEX(B_InitialSituation!$J$9:$J$153,MATCH($R62,B_InitialSituation!$R$9:$R$153,0)))</f>
      </c>
      <c r="K62" s="472">
        <f t="shared" si="9"/>
      </c>
      <c r="L62" s="489">
        <f>IF(K62="","",K62*INDEX(B_InitialSituation!$I$9:$I$153,MATCH($Q62,B_InitialSituation!$Q$9:$Q$153,0)))</f>
      </c>
      <c r="M62" s="489">
        <f>IF(K62="","",K62*INDEX(B_InitialSituation!$J$9:$J$153,MATCH($R62,B_InitialSituation!$R$9:$R$153,0)))</f>
      </c>
      <c r="N62" s="473">
        <f t="shared" si="10"/>
      </c>
      <c r="O62" s="9"/>
      <c r="P62" s="9"/>
      <c r="Q62" s="451" t="str">
        <f t="shared" si="12"/>
        <v>CAPINI_2_Sous-installation avec référentiel de combustibles, non-CL</v>
      </c>
      <c r="R62" s="451" t="str">
        <f t="shared" si="13"/>
        <v>HAL_2_Sous-installation avec référentiel de combustibles, non-CL</v>
      </c>
      <c r="S62" s="451" t="str">
        <f t="shared" si="14"/>
        <v>HAL_2_14</v>
      </c>
      <c r="T62" s="451" t="str">
        <f t="shared" si="11"/>
        <v>FInitial_2_Sous-installation avec référentiel de combustibles, non-CL</v>
      </c>
      <c r="U62" s="451" t="str">
        <f t="shared" si="15"/>
        <v>CAPINI_Sous-installation avec référentiel de combustibles, non-CL</v>
      </c>
      <c r="V62" s="453">
        <f t="shared" si="16"/>
        <v>2</v>
      </c>
      <c r="W62" s="423"/>
      <c r="X62" s="423"/>
      <c r="Y62" s="423"/>
      <c r="Z62" s="448" t="b">
        <f>INDEX(B_InitialSituation!$X$9:$X$153,MATCH($T62,B_InitialSituation!$Q$9:$Q$153,0))</f>
        <v>0</v>
      </c>
      <c r="AA62" s="423"/>
    </row>
    <row r="63" spans="1:27" s="522" customFormat="1" ht="12.75" customHeight="1">
      <c r="A63" s="4"/>
      <c r="B63" s="5"/>
      <c r="C63" s="29">
        <v>15</v>
      </c>
      <c r="D63" s="990" t="str">
        <f t="shared" si="17"/>
        <v>Sous-installation avec émissions de procédé, CL</v>
      </c>
      <c r="E63" s="991"/>
      <c r="F63" s="991"/>
      <c r="G63" s="992"/>
      <c r="H63" s="471"/>
      <c r="I63" s="489">
        <f>IF(H63="","",H63*INDEX(B_InitialSituation!$I$9:$I$153,MATCH($Q63,B_InitialSituation!$Q$9:$Q$153,0)))</f>
      </c>
      <c r="J63" s="489">
        <f>IF(H63="","",H63*INDEX(B_InitialSituation!$J$9:$J$153,MATCH($R63,B_InitialSituation!$R$9:$R$153,0)))</f>
      </c>
      <c r="K63" s="472">
        <f t="shared" si="9"/>
      </c>
      <c r="L63" s="489">
        <f>IF(K63="","",K63*INDEX(B_InitialSituation!$I$9:$I$153,MATCH($Q63,B_InitialSituation!$Q$9:$Q$153,0)))</f>
      </c>
      <c r="M63" s="489">
        <f>IF(K63="","",K63*INDEX(B_InitialSituation!$J$9:$J$153,MATCH($R63,B_InitialSituation!$R$9:$R$153,0)))</f>
      </c>
      <c r="N63" s="473">
        <f t="shared" si="10"/>
      </c>
      <c r="O63" s="9"/>
      <c r="P63" s="9"/>
      <c r="Q63" s="451" t="str">
        <f t="shared" si="12"/>
        <v>CAPINI_2_Sous-installation avec émissions de procédé, CL</v>
      </c>
      <c r="R63" s="451" t="str">
        <f t="shared" si="13"/>
        <v>HAL_2_Sous-installation avec émissions de procédé, CL</v>
      </c>
      <c r="S63" s="451" t="str">
        <f t="shared" si="14"/>
        <v>HAL_2_15</v>
      </c>
      <c r="T63" s="451" t="str">
        <f t="shared" si="11"/>
        <v>FInitial_2_Sous-installation avec émissions de procédé, CL</v>
      </c>
      <c r="U63" s="451" t="str">
        <f t="shared" si="15"/>
        <v>CAPINI_Sous-installation avec émissions de procédé, CL</v>
      </c>
      <c r="V63" s="453">
        <f t="shared" si="16"/>
        <v>2</v>
      </c>
      <c r="W63" s="423"/>
      <c r="X63" s="423"/>
      <c r="Y63" s="423"/>
      <c r="Z63" s="448" t="b">
        <f>INDEX(B_InitialSituation!$X$9:$X$153,MATCH($T63,B_InitialSituation!$Q$9:$Q$153,0))</f>
        <v>0</v>
      </c>
      <c r="AA63" s="423"/>
    </row>
    <row r="64" spans="1:27" s="522" customFormat="1" ht="25.5" customHeight="1">
      <c r="A64" s="4"/>
      <c r="B64" s="5"/>
      <c r="C64" s="25">
        <v>16</v>
      </c>
      <c r="D64" s="990" t="str">
        <f t="shared" si="17"/>
        <v>Sous-installation avec émissions de procédé, non-CL</v>
      </c>
      <c r="E64" s="991"/>
      <c r="F64" s="991"/>
      <c r="G64" s="992"/>
      <c r="H64" s="477"/>
      <c r="I64" s="492">
        <f>IF(H64="","",H64*INDEX(B_InitialSituation!$I$9:$I$153,MATCH($Q64,B_InitialSituation!$Q$9:$Q$153,0)))</f>
      </c>
      <c r="J64" s="492">
        <f>IF(H64="","",H64*INDEX(B_InitialSituation!$J$9:$J$153,MATCH($R64,B_InitialSituation!$R$9:$R$153,0)))</f>
      </c>
      <c r="K64" s="478">
        <f t="shared" si="9"/>
      </c>
      <c r="L64" s="492">
        <f>IF(K64="","",K64*INDEX(B_InitialSituation!$I$9:$I$153,MATCH($Q64,B_InitialSituation!$Q$9:$Q$153,0)))</f>
      </c>
      <c r="M64" s="492">
        <f>IF(K64="","",K64*INDEX(B_InitialSituation!$J$9:$J$153,MATCH($R64,B_InitialSituation!$R$9:$R$153,0)))</f>
      </c>
      <c r="N64" s="479">
        <f t="shared" si="10"/>
      </c>
      <c r="O64" s="9"/>
      <c r="P64" s="9"/>
      <c r="Q64" s="451" t="str">
        <f t="shared" si="12"/>
        <v>CAPINI_2_Sous-installation avec émissions de procédé, non-CL</v>
      </c>
      <c r="R64" s="451" t="str">
        <f t="shared" si="13"/>
        <v>HAL_2_Sous-installation avec émissions de procédé, non-CL</v>
      </c>
      <c r="S64" s="451" t="str">
        <f t="shared" si="14"/>
        <v>HAL_2_16</v>
      </c>
      <c r="T64" s="451" t="str">
        <f t="shared" si="11"/>
        <v>FInitial_2_Sous-installation avec émissions de procédé, non-CL</v>
      </c>
      <c r="U64" s="451" t="str">
        <f t="shared" si="15"/>
        <v>CAPINI_Sous-installation avec émissions de procédé, non-CL</v>
      </c>
      <c r="V64" s="453">
        <f t="shared" si="16"/>
        <v>2</v>
      </c>
      <c r="W64" s="423"/>
      <c r="X64" s="423"/>
      <c r="Y64" s="423"/>
      <c r="Z64" s="448" t="b">
        <f>INDEX(B_InitialSituation!$X$9:$X$153,MATCH($T64,B_InitialSituation!$Q$9:$Q$153,0))</f>
        <v>0</v>
      </c>
      <c r="AA64" s="423"/>
    </row>
    <row r="65" spans="1:27" s="522" customFormat="1" ht="12.75" customHeight="1" thickBot="1">
      <c r="A65" s="4"/>
      <c r="B65" s="5"/>
      <c r="C65" s="413">
        <v>17</v>
      </c>
      <c r="D65" s="996" t="str">
        <f>EUconst_PrivateHouseholds</f>
        <v>Ménages privés</v>
      </c>
      <c r="E65" s="997"/>
      <c r="F65" s="997"/>
      <c r="G65" s="998"/>
      <c r="H65" s="461"/>
      <c r="I65" s="480"/>
      <c r="J65" s="480"/>
      <c r="K65" s="464">
        <f t="shared" si="9"/>
      </c>
      <c r="L65" s="480"/>
      <c r="M65" s="480"/>
      <c r="N65" s="467">
        <f t="shared" si="10"/>
      </c>
      <c r="O65" s="9"/>
      <c r="P65" s="9"/>
      <c r="Q65" s="441"/>
      <c r="R65" s="441"/>
      <c r="S65" s="423"/>
      <c r="T65" s="451" t="str">
        <f t="shared" si="11"/>
        <v>FInitial_2_Ménages privés</v>
      </c>
      <c r="U65" s="423"/>
      <c r="V65" s="454">
        <f t="shared" si="16"/>
        <v>2</v>
      </c>
      <c r="W65" s="423"/>
      <c r="X65" s="423"/>
      <c r="Y65" s="423"/>
      <c r="Z65" s="448" t="b">
        <f>INDEX(B_InitialSituation!$X$9:$X$153,MATCH($T65,B_InitialSituation!$Q$9:$Q$153,0))</f>
        <v>0</v>
      </c>
      <c r="AA65" s="423"/>
    </row>
    <row r="66" spans="1:27" s="522" customFormat="1" ht="38.25" customHeight="1">
      <c r="A66" s="4"/>
      <c r="B66" s="5"/>
      <c r="C66" s="7"/>
      <c r="D66" s="5"/>
      <c r="E66" s="5"/>
      <c r="F66" s="5"/>
      <c r="G66" s="5"/>
      <c r="H66" s="5"/>
      <c r="I66" s="5"/>
      <c r="J66" s="5"/>
      <c r="K66" s="5"/>
      <c r="L66" s="5"/>
      <c r="M66" s="9"/>
      <c r="N66" s="9"/>
      <c r="O66" s="315"/>
      <c r="P66" s="9"/>
      <c r="Q66" s="441"/>
      <c r="R66" s="423"/>
      <c r="S66" s="423"/>
      <c r="T66" s="423"/>
      <c r="U66" s="423"/>
      <c r="V66" s="423"/>
      <c r="W66" s="423"/>
      <c r="X66" s="423"/>
      <c r="Y66" s="423"/>
      <c r="Z66" s="423"/>
      <c r="AA66" s="423"/>
    </row>
    <row r="67" spans="1:27" s="522" customFormat="1" ht="12.75">
      <c r="A67" s="4"/>
      <c r="B67" s="18"/>
      <c r="C67" s="18"/>
      <c r="D67" s="779" t="str">
        <f>HYPERLINK(R67,Translations!$B$336)</f>
        <v>&lt;&lt;&lt; Cliquer ici pour passer à la feuille suivante &gt;&gt;&gt; </v>
      </c>
      <c r="E67" s="780"/>
      <c r="F67" s="780"/>
      <c r="G67" s="780"/>
      <c r="H67" s="780"/>
      <c r="I67" s="780"/>
      <c r="J67" s="780"/>
      <c r="K67" s="780"/>
      <c r="L67" s="780"/>
      <c r="M67" s="780"/>
      <c r="N67" s="780"/>
      <c r="O67" s="18"/>
      <c r="P67" s="18"/>
      <c r="Q67" s="334"/>
      <c r="R67" s="451" t="str">
        <f>$W$2</f>
        <v>#D_Summary!$C$6</v>
      </c>
      <c r="S67" s="334"/>
      <c r="T67" s="334"/>
      <c r="U67" s="334"/>
      <c r="V67" s="334"/>
      <c r="W67" s="334"/>
      <c r="X67" s="334"/>
      <c r="Y67" s="334"/>
      <c r="Z67" s="334"/>
      <c r="AA67" s="423"/>
    </row>
    <row r="68" spans="1:27" s="522" customFormat="1" ht="12.75" customHeight="1">
      <c r="A68" s="4"/>
      <c r="B68" s="5"/>
      <c r="C68" s="7"/>
      <c r="D68" s="5"/>
      <c r="E68" s="5"/>
      <c r="F68" s="5"/>
      <c r="G68" s="5"/>
      <c r="H68" s="5"/>
      <c r="I68" s="5"/>
      <c r="J68" s="5"/>
      <c r="K68" s="5"/>
      <c r="L68" s="5"/>
      <c r="M68" s="9"/>
      <c r="N68" s="9"/>
      <c r="O68" s="315"/>
      <c r="P68" s="9"/>
      <c r="Q68" s="457" t="s">
        <v>170</v>
      </c>
      <c r="R68" s="457" t="s">
        <v>170</v>
      </c>
      <c r="S68" s="457" t="s">
        <v>170</v>
      </c>
      <c r="T68" s="457" t="s">
        <v>170</v>
      </c>
      <c r="U68" s="457" t="s">
        <v>170</v>
      </c>
      <c r="V68" s="457" t="s">
        <v>170</v>
      </c>
      <c r="W68" s="457" t="s">
        <v>170</v>
      </c>
      <c r="X68" s="457" t="s">
        <v>170</v>
      </c>
      <c r="Y68" s="457" t="s">
        <v>170</v>
      </c>
      <c r="Z68" s="457" t="s">
        <v>170</v>
      </c>
      <c r="AA68" s="423"/>
    </row>
    <row r="69" spans="1:27" s="522" customFormat="1" ht="12.75" customHeight="1">
      <c r="A69" s="4"/>
      <c r="B69" s="5"/>
      <c r="C69" s="7"/>
      <c r="D69" s="5"/>
      <c r="E69" s="5"/>
      <c r="F69" s="5"/>
      <c r="G69" s="5"/>
      <c r="H69" s="5"/>
      <c r="I69" s="5"/>
      <c r="J69" s="5"/>
      <c r="K69" s="5"/>
      <c r="L69" s="5"/>
      <c r="M69" s="9"/>
      <c r="N69" s="9"/>
      <c r="O69" s="315"/>
      <c r="P69" s="9"/>
      <c r="Q69" s="441"/>
      <c r="R69" s="455"/>
      <c r="S69" s="423"/>
      <c r="T69" s="423"/>
      <c r="U69" s="423"/>
      <c r="V69" s="423"/>
      <c r="W69" s="423"/>
      <c r="X69" s="423"/>
      <c r="Y69" s="423"/>
      <c r="Z69" s="423"/>
      <c r="AA69" s="423"/>
    </row>
    <row r="70" spans="1:27" s="522" customFormat="1" ht="12.75" customHeight="1">
      <c r="A70" s="4"/>
      <c r="B70" s="5"/>
      <c r="C70" s="7"/>
      <c r="D70" s="5"/>
      <c r="E70" s="5"/>
      <c r="F70" s="5"/>
      <c r="G70" s="5"/>
      <c r="H70" s="5"/>
      <c r="I70" s="5"/>
      <c r="J70" s="5"/>
      <c r="K70" s="5"/>
      <c r="L70" s="5"/>
      <c r="M70" s="9"/>
      <c r="N70" s="9"/>
      <c r="O70" s="315"/>
      <c r="P70" s="9"/>
      <c r="Q70" s="441"/>
      <c r="R70" s="423"/>
      <c r="S70" s="423"/>
      <c r="T70" s="423"/>
      <c r="U70" s="423"/>
      <c r="V70" s="423"/>
      <c r="W70" s="423"/>
      <c r="X70" s="423"/>
      <c r="Y70" s="423"/>
      <c r="Z70" s="423"/>
      <c r="AA70" s="423"/>
    </row>
    <row r="71" spans="1:27" s="522" customFormat="1" ht="12.75" customHeight="1">
      <c r="A71" s="4"/>
      <c r="B71" s="5"/>
      <c r="C71" s="7"/>
      <c r="D71" s="5"/>
      <c r="E71" s="5"/>
      <c r="F71" s="5"/>
      <c r="G71" s="5"/>
      <c r="H71" s="5"/>
      <c r="I71" s="5"/>
      <c r="J71" s="5"/>
      <c r="K71" s="5"/>
      <c r="L71" s="5"/>
      <c r="M71" s="9"/>
      <c r="N71" s="9"/>
      <c r="O71" s="315"/>
      <c r="P71" s="9"/>
      <c r="Q71" s="441"/>
      <c r="R71" s="423"/>
      <c r="S71" s="423"/>
      <c r="T71" s="423"/>
      <c r="U71" s="423"/>
      <c r="V71" s="423"/>
      <c r="W71" s="423"/>
      <c r="X71" s="423"/>
      <c r="Y71" s="423"/>
      <c r="Z71" s="423"/>
      <c r="AA71" s="423"/>
    </row>
    <row r="72" spans="1:27" s="522" customFormat="1" ht="12.75" customHeight="1">
      <c r="A72" s="4"/>
      <c r="B72" s="5"/>
      <c r="C72" s="7"/>
      <c r="D72" s="5"/>
      <c r="E72" s="5"/>
      <c r="F72" s="5"/>
      <c r="G72" s="5"/>
      <c r="H72" s="5"/>
      <c r="I72" s="5"/>
      <c r="J72" s="5"/>
      <c r="K72" s="5"/>
      <c r="L72" s="5"/>
      <c r="M72" s="9"/>
      <c r="N72" s="9"/>
      <c r="O72" s="315"/>
      <c r="P72" s="9"/>
      <c r="Q72" s="441"/>
      <c r="R72" s="423"/>
      <c r="S72" s="423"/>
      <c r="T72" s="423"/>
      <c r="U72" s="423"/>
      <c r="V72" s="423"/>
      <c r="W72" s="423"/>
      <c r="X72" s="423"/>
      <c r="Y72" s="423"/>
      <c r="Z72" s="423"/>
      <c r="AA72" s="423"/>
    </row>
    <row r="73" spans="1:27" s="522" customFormat="1" ht="12.75" customHeight="1">
      <c r="A73" s="4"/>
      <c r="B73" s="523"/>
      <c r="C73" s="521"/>
      <c r="D73" s="523"/>
      <c r="E73" s="523"/>
      <c r="F73" s="523"/>
      <c r="G73" s="523"/>
      <c r="H73" s="523"/>
      <c r="I73" s="523"/>
      <c r="J73" s="523"/>
      <c r="K73" s="523"/>
      <c r="L73" s="523"/>
      <c r="M73" s="519"/>
      <c r="N73" s="519"/>
      <c r="O73" s="527"/>
      <c r="P73" s="519"/>
      <c r="Q73" s="441"/>
      <c r="R73" s="423"/>
      <c r="S73" s="423"/>
      <c r="T73" s="423"/>
      <c r="U73" s="423"/>
      <c r="V73" s="423"/>
      <c r="W73" s="423"/>
      <c r="X73" s="423"/>
      <c r="Y73" s="423"/>
      <c r="Z73" s="423"/>
      <c r="AA73" s="423"/>
    </row>
  </sheetData>
  <sheetProtection sheet="1" objects="1" scenarios="1" formatCells="0" formatColumns="0" formatRows="0"/>
  <mergeCells count="77">
    <mergeCell ref="D60:G60"/>
    <mergeCell ref="D39:N39"/>
    <mergeCell ref="D61:G61"/>
    <mergeCell ref="D62:G62"/>
    <mergeCell ref="D63:G63"/>
    <mergeCell ref="D54:G54"/>
    <mergeCell ref="H43:J43"/>
    <mergeCell ref="H46:J46"/>
    <mergeCell ref="K46:M46"/>
    <mergeCell ref="D53:G53"/>
    <mergeCell ref="D26:G26"/>
    <mergeCell ref="D27:G27"/>
    <mergeCell ref="D32:G32"/>
    <mergeCell ref="D33:G33"/>
    <mergeCell ref="D34:G34"/>
    <mergeCell ref="D40:M40"/>
    <mergeCell ref="D67:N67"/>
    <mergeCell ref="D11:M11"/>
    <mergeCell ref="D64:G64"/>
    <mergeCell ref="D65:G65"/>
    <mergeCell ref="D59:G59"/>
    <mergeCell ref="D55:G55"/>
    <mergeCell ref="D56:G56"/>
    <mergeCell ref="D58:G58"/>
    <mergeCell ref="D29:G29"/>
    <mergeCell ref="D30:G30"/>
    <mergeCell ref="D57:G57"/>
    <mergeCell ref="D52:G52"/>
    <mergeCell ref="D24:G24"/>
    <mergeCell ref="D25:G25"/>
    <mergeCell ref="D28:G28"/>
    <mergeCell ref="H17:J17"/>
    <mergeCell ref="D35:G35"/>
    <mergeCell ref="D36:G36"/>
    <mergeCell ref="D47:F47"/>
    <mergeCell ref="D31:G31"/>
    <mergeCell ref="K17:M17"/>
    <mergeCell ref="D48:G48"/>
    <mergeCell ref="D49:G49"/>
    <mergeCell ref="D50:G50"/>
    <mergeCell ref="D51:G51"/>
    <mergeCell ref="D10:N10"/>
    <mergeCell ref="D20:G20"/>
    <mergeCell ref="D21:G21"/>
    <mergeCell ref="D22:G22"/>
    <mergeCell ref="D23:G23"/>
    <mergeCell ref="H14:J14"/>
    <mergeCell ref="D18:F18"/>
    <mergeCell ref="D19:G19"/>
    <mergeCell ref="E4:F4"/>
    <mergeCell ref="G4:H4"/>
    <mergeCell ref="I4:J4"/>
    <mergeCell ref="K4:L4"/>
    <mergeCell ref="M4:N4"/>
    <mergeCell ref="D6:N6"/>
    <mergeCell ref="B2:D4"/>
    <mergeCell ref="G2:H2"/>
    <mergeCell ref="I2:J2"/>
    <mergeCell ref="K2:L2"/>
    <mergeCell ref="W3:X3"/>
    <mergeCell ref="Y3:Z3"/>
    <mergeCell ref="M2:N2"/>
    <mergeCell ref="E3:F3"/>
    <mergeCell ref="G3:H3"/>
    <mergeCell ref="I3:J3"/>
    <mergeCell ref="K3:L3"/>
    <mergeCell ref="M3:N3"/>
    <mergeCell ref="S4:T4"/>
    <mergeCell ref="U4:V4"/>
    <mergeCell ref="W4:X4"/>
    <mergeCell ref="Y4:Z4"/>
    <mergeCell ref="S2:T2"/>
    <mergeCell ref="U2:V2"/>
    <mergeCell ref="W2:X2"/>
    <mergeCell ref="Y2:Z2"/>
    <mergeCell ref="S3:T3"/>
    <mergeCell ref="U3:V3"/>
  </mergeCells>
  <conditionalFormatting sqref="H19:H36 H48:H65">
    <cfRule type="expression" priority="1" dxfId="12" stopIfTrue="1">
      <formula>$Z19=FALSE</formula>
    </cfRule>
  </conditionalFormatting>
  <hyperlinks>
    <hyperlink ref="G2:H2" location="JUMP_Coverpage_Top" display="JUMP_Coverpage_Top"/>
  </hyperlink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AQ1858"/>
  <sheetViews>
    <sheetView zoomScalePageLayoutView="0" workbookViewId="0" topLeftCell="B1">
      <pane ySplit="4" topLeftCell="A131" activePane="bottomLeft" state="frozen"/>
      <selection pane="topLeft" activeCell="F43" sqref="F43"/>
      <selection pane="bottomLeft" activeCell="D159" sqref="D159:G159"/>
    </sheetView>
  </sheetViews>
  <sheetFormatPr defaultColWidth="11.421875" defaultRowHeight="12.75"/>
  <cols>
    <col min="1" max="1" width="4.7109375" style="584" hidden="1" customWidth="1"/>
    <col min="2" max="2" width="2.7109375" style="584" customWidth="1"/>
    <col min="3" max="4" width="4.7109375" style="584" customWidth="1"/>
    <col min="5" max="14" width="12.7109375" style="584" customWidth="1"/>
    <col min="15" max="15" width="4.7109375" style="584" customWidth="1"/>
    <col min="16" max="16" width="18.421875" style="584" hidden="1" customWidth="1"/>
    <col min="17" max="43" width="11.421875" style="513" hidden="1" customWidth="1"/>
    <col min="44" max="16384" width="11.421875" style="584" customWidth="1"/>
  </cols>
  <sheetData>
    <row r="1" spans="1:43" s="4" customFormat="1" ht="13.5" hidden="1" thickBot="1">
      <c r="A1" s="4" t="s">
        <v>486</v>
      </c>
      <c r="P1" s="319" t="s">
        <v>486</v>
      </c>
      <c r="Q1" s="423" t="s">
        <v>486</v>
      </c>
      <c r="R1" s="423" t="s">
        <v>486</v>
      </c>
      <c r="S1" s="440" t="s">
        <v>486</v>
      </c>
      <c r="T1" s="423" t="s">
        <v>486</v>
      </c>
      <c r="U1" s="423" t="s">
        <v>486</v>
      </c>
      <c r="V1" s="423" t="s">
        <v>486</v>
      </c>
      <c r="W1" s="423" t="s">
        <v>486</v>
      </c>
      <c r="X1" s="423" t="s">
        <v>486</v>
      </c>
      <c r="Y1" s="423" t="s">
        <v>486</v>
      </c>
      <c r="Z1" s="423" t="s">
        <v>486</v>
      </c>
      <c r="AA1" s="423" t="s">
        <v>486</v>
      </c>
      <c r="AB1" s="423" t="s">
        <v>486</v>
      </c>
      <c r="AC1" s="423" t="s">
        <v>486</v>
      </c>
      <c r="AD1" s="423" t="s">
        <v>486</v>
      </c>
      <c r="AE1" s="423" t="s">
        <v>486</v>
      </c>
      <c r="AF1" s="423" t="s">
        <v>486</v>
      </c>
      <c r="AG1" s="423" t="s">
        <v>486</v>
      </c>
      <c r="AH1" s="423" t="s">
        <v>486</v>
      </c>
      <c r="AI1" s="423" t="s">
        <v>486</v>
      </c>
      <c r="AJ1" s="423" t="s">
        <v>486</v>
      </c>
      <c r="AK1" s="423" t="s">
        <v>486</v>
      </c>
      <c r="AL1" s="423" t="s">
        <v>486</v>
      </c>
      <c r="AM1" s="423" t="s">
        <v>486</v>
      </c>
      <c r="AN1" s="423" t="s">
        <v>486</v>
      </c>
      <c r="AO1" s="423" t="s">
        <v>486</v>
      </c>
      <c r="AP1" s="423" t="s">
        <v>486</v>
      </c>
      <c r="AQ1" s="423" t="s">
        <v>486</v>
      </c>
    </row>
    <row r="2" spans="1:43" s="522" customFormat="1" ht="13.5" customHeight="1" thickBot="1">
      <c r="A2" s="4"/>
      <c r="B2" s="913" t="str">
        <f>Translations!$B$1567</f>
        <v>D. Summary (Résumé)</v>
      </c>
      <c r="C2" s="914"/>
      <c r="D2" s="915"/>
      <c r="E2" s="201" t="str">
        <f>Translations!$B$276</f>
        <v>Zone de navigation:</v>
      </c>
      <c r="F2" s="199"/>
      <c r="G2" s="715" t="str">
        <f>Translations!$B$290</f>
        <v>Table des matières</v>
      </c>
      <c r="H2" s="702"/>
      <c r="I2" s="702" t="str">
        <f>HYPERLINK(U2,Translations!$B$291)</f>
        <v>Feuille précédente</v>
      </c>
      <c r="J2" s="702"/>
      <c r="K2" s="702"/>
      <c r="L2" s="702"/>
      <c r="M2" s="702"/>
      <c r="N2" s="709"/>
      <c r="O2" s="9"/>
      <c r="P2" s="9"/>
      <c r="Q2" s="441" t="s">
        <v>555</v>
      </c>
      <c r="R2" s="441"/>
      <c r="S2" s="704"/>
      <c r="T2" s="705"/>
      <c r="U2" s="706" t="str">
        <f>"#"&amp;ADDRESS(ROW(C6),COLUMN(C6),,,C_MergerSplitTransfer!Q3)</f>
        <v>#C_MergerSplitTransfer!$C$6</v>
      </c>
      <c r="V2" s="705"/>
      <c r="W2" s="706" t="str">
        <f>"#"&amp;ADDRESS(ROW(C6),COLUMN(C6),,,C_MergerSplitTransfer!R2)</f>
        <v>#!$C$6</v>
      </c>
      <c r="X2" s="705"/>
      <c r="Y2" s="706" t="str">
        <f>"#"&amp;ADDRESS(ROW(C6),COLUMN(C6),,,D_Summary!Q3)</f>
        <v>#D_Summary!$C$6</v>
      </c>
      <c r="Z2" s="707"/>
      <c r="AA2" s="423"/>
      <c r="AB2" s="423"/>
      <c r="AC2" s="423"/>
      <c r="AD2" s="423"/>
      <c r="AE2" s="423"/>
      <c r="AF2" s="423"/>
      <c r="AG2" s="423"/>
      <c r="AH2" s="423"/>
      <c r="AI2" s="423"/>
      <c r="AJ2" s="423"/>
      <c r="AK2" s="423"/>
      <c r="AL2" s="423"/>
      <c r="AM2" s="423"/>
      <c r="AN2" s="423"/>
      <c r="AO2" s="423"/>
      <c r="AP2" s="423"/>
      <c r="AQ2" s="423"/>
    </row>
    <row r="3" spans="1:43" s="522" customFormat="1" ht="13.5" thickBot="1">
      <c r="A3" s="4"/>
      <c r="B3" s="916"/>
      <c r="C3" s="917"/>
      <c r="D3" s="918"/>
      <c r="E3" s="702" t="str">
        <f>HYPERLINK(R3,Translations!$B$279)</f>
        <v>Début de feuille</v>
      </c>
      <c r="F3" s="750"/>
      <c r="G3" s="716" t="str">
        <f>HYPERLINK(S3,Translations!$B$1502)</f>
        <v>Installations concernées</v>
      </c>
      <c r="H3" s="717"/>
      <c r="I3" s="752" t="str">
        <f>HYPERLINK(U3,D26)</f>
        <v>Données relatives à l'installation</v>
      </c>
      <c r="J3" s="717"/>
      <c r="K3" s="752" t="str">
        <f>HYPERLINK(W3,D65)</f>
        <v>Nouvelle allocation</v>
      </c>
      <c r="L3" s="717"/>
      <c r="M3" s="752"/>
      <c r="N3" s="717"/>
      <c r="O3" s="9"/>
      <c r="P3" s="9"/>
      <c r="Q3" s="499" t="str">
        <f ca="1">IF(ISERROR(CELL("filename",Q1)),"D_Summary",MID(CELL("filename",Q1),FIND("]",CELL("filename",Q1))+1,1024))</f>
        <v>D_Summary</v>
      </c>
      <c r="R3" s="500" t="str">
        <f>"#"&amp;ADDRESS(ROW(C6),COLUMN(C6))</f>
        <v>#$C$6</v>
      </c>
      <c r="S3" s="775" t="str">
        <f>"#"&amp;ADDRESS(ROW(C8),COLUMN(C8))</f>
        <v>#$C$8</v>
      </c>
      <c r="T3" s="776"/>
      <c r="U3" s="777" t="str">
        <f>"#"&amp;ADDRESS(ROW(C26),COLUMN(C26))</f>
        <v>#$C$26</v>
      </c>
      <c r="V3" s="776"/>
      <c r="W3" s="777" t="str">
        <f>"#"&amp;ADDRESS(ROW(C65),COLUMN(C65))</f>
        <v>#$C$65</v>
      </c>
      <c r="X3" s="776"/>
      <c r="Y3" s="777"/>
      <c r="Z3" s="778"/>
      <c r="AA3" s="423"/>
      <c r="AB3" s="423"/>
      <c r="AC3" s="423"/>
      <c r="AD3" s="423"/>
      <c r="AE3" s="423"/>
      <c r="AF3" s="423"/>
      <c r="AG3" s="423"/>
      <c r="AH3" s="423"/>
      <c r="AI3" s="423"/>
      <c r="AJ3" s="423"/>
      <c r="AK3" s="423"/>
      <c r="AL3" s="423"/>
      <c r="AM3" s="423"/>
      <c r="AN3" s="423"/>
      <c r="AO3" s="423"/>
      <c r="AP3" s="423"/>
      <c r="AQ3" s="423"/>
    </row>
    <row r="4" spans="1:43" s="522" customFormat="1" ht="13.5" customHeight="1" thickBot="1">
      <c r="A4" s="4"/>
      <c r="B4" s="919"/>
      <c r="C4" s="920"/>
      <c r="D4" s="921"/>
      <c r="E4" s="702"/>
      <c r="F4" s="702"/>
      <c r="G4" s="758"/>
      <c r="H4" s="759"/>
      <c r="I4" s="760"/>
      <c r="J4" s="759"/>
      <c r="K4" s="760"/>
      <c r="L4" s="759"/>
      <c r="M4" s="760"/>
      <c r="N4" s="759"/>
      <c r="O4" s="9"/>
      <c r="P4" s="9"/>
      <c r="Q4" s="441"/>
      <c r="R4" s="501"/>
      <c r="S4" s="781"/>
      <c r="T4" s="782"/>
      <c r="U4" s="783"/>
      <c r="V4" s="782"/>
      <c r="W4" s="783"/>
      <c r="X4" s="782"/>
      <c r="Y4" s="783"/>
      <c r="Z4" s="784"/>
      <c r="AA4" s="423"/>
      <c r="AB4" s="423"/>
      <c r="AC4" s="423"/>
      <c r="AD4" s="423"/>
      <c r="AE4" s="423"/>
      <c r="AF4" s="423"/>
      <c r="AG4" s="423"/>
      <c r="AH4" s="423"/>
      <c r="AI4" s="423"/>
      <c r="AJ4" s="423"/>
      <c r="AK4" s="423"/>
      <c r="AL4" s="423"/>
      <c r="AM4" s="423"/>
      <c r="AN4" s="423"/>
      <c r="AO4" s="423"/>
      <c r="AP4" s="423"/>
      <c r="AQ4" s="423"/>
    </row>
    <row r="5" spans="1:43" s="522" customFormat="1" ht="12.75">
      <c r="A5" s="4"/>
      <c r="B5" s="5"/>
      <c r="C5" s="6"/>
      <c r="D5" s="7"/>
      <c r="E5" s="7"/>
      <c r="F5" s="8"/>
      <c r="G5" s="8"/>
      <c r="H5" s="8"/>
      <c r="I5" s="5"/>
      <c r="J5" s="5"/>
      <c r="K5" s="5"/>
      <c r="L5" s="5"/>
      <c r="M5" s="9"/>
      <c r="N5" s="9"/>
      <c r="O5" s="9"/>
      <c r="P5" s="9"/>
      <c r="Q5" s="441"/>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row>
    <row r="6" spans="1:43" s="522" customFormat="1" ht="23.25" customHeight="1">
      <c r="A6" s="4"/>
      <c r="B6" s="5"/>
      <c r="C6" s="11" t="s">
        <v>349</v>
      </c>
      <c r="D6" s="718" t="str">
        <f>Translations!$B$1568</f>
        <v>Feuille «Summary» («Résumé»)</v>
      </c>
      <c r="E6" s="742"/>
      <c r="F6" s="742"/>
      <c r="G6" s="742"/>
      <c r="H6" s="742"/>
      <c r="I6" s="742"/>
      <c r="J6" s="742"/>
      <c r="K6" s="742"/>
      <c r="L6" s="742"/>
      <c r="M6" s="742"/>
      <c r="N6" s="742"/>
      <c r="O6" s="9"/>
      <c r="P6" s="9"/>
      <c r="Q6" s="442" t="s">
        <v>331</v>
      </c>
      <c r="R6" s="442" t="s">
        <v>331</v>
      </c>
      <c r="S6" s="442" t="s">
        <v>331</v>
      </c>
      <c r="T6" s="442" t="s">
        <v>331</v>
      </c>
      <c r="U6" s="442" t="s">
        <v>331</v>
      </c>
      <c r="V6" s="442" t="s">
        <v>331</v>
      </c>
      <c r="W6" s="442" t="s">
        <v>331</v>
      </c>
      <c r="X6" s="442" t="s">
        <v>331</v>
      </c>
      <c r="Y6" s="442" t="s">
        <v>331</v>
      </c>
      <c r="Z6" s="442" t="s">
        <v>331</v>
      </c>
      <c r="AA6" s="423"/>
      <c r="AB6" s="423"/>
      <c r="AC6" s="423"/>
      <c r="AD6" s="423"/>
      <c r="AE6" s="423"/>
      <c r="AF6" s="423"/>
      <c r="AG6" s="423"/>
      <c r="AH6" s="423"/>
      <c r="AI6" s="423"/>
      <c r="AJ6" s="423"/>
      <c r="AK6" s="423"/>
      <c r="AL6" s="423"/>
      <c r="AM6" s="423"/>
      <c r="AN6" s="423"/>
      <c r="AO6" s="423"/>
      <c r="AP6" s="423"/>
      <c r="AQ6" s="423"/>
    </row>
    <row r="7" spans="1:43" s="522" customFormat="1" ht="12.75" customHeight="1">
      <c r="A7" s="4"/>
      <c r="B7" s="5"/>
      <c r="C7" s="7"/>
      <c r="D7" s="5"/>
      <c r="E7" s="5"/>
      <c r="F7" s="5"/>
      <c r="G7" s="5"/>
      <c r="H7" s="5"/>
      <c r="I7" s="5"/>
      <c r="J7" s="5"/>
      <c r="K7" s="5"/>
      <c r="L7" s="5"/>
      <c r="M7" s="9"/>
      <c r="N7" s="9"/>
      <c r="O7" s="315"/>
      <c r="P7" s="9"/>
      <c r="Q7" s="441"/>
      <c r="R7" s="455"/>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row>
    <row r="8" spans="1:43" s="524" customFormat="1" ht="18" customHeight="1">
      <c r="A8" s="371"/>
      <c r="B8" s="208"/>
      <c r="C8" s="316" t="s">
        <v>42</v>
      </c>
      <c r="D8" s="332" t="str">
        <f>Translations!$B$1569</f>
        <v>Installations concernées par la fusion, la scission ou le transfert</v>
      </c>
      <c r="E8" s="332"/>
      <c r="F8" s="332"/>
      <c r="G8" s="332"/>
      <c r="H8" s="332"/>
      <c r="I8" s="332"/>
      <c r="J8" s="332"/>
      <c r="K8" s="332"/>
      <c r="L8" s="332"/>
      <c r="M8" s="332"/>
      <c r="N8" s="332"/>
      <c r="O8" s="209"/>
      <c r="P8" s="209"/>
      <c r="Q8" s="363"/>
      <c r="R8" s="363"/>
      <c r="S8" s="363"/>
      <c r="T8" s="363"/>
      <c r="U8" s="363"/>
      <c r="V8" s="363"/>
      <c r="W8" s="363"/>
      <c r="X8" s="363"/>
      <c r="Y8" s="363"/>
      <c r="Z8" s="363"/>
      <c r="AA8" s="363"/>
      <c r="AB8" s="423"/>
      <c r="AC8" s="423"/>
      <c r="AD8" s="423"/>
      <c r="AE8" s="423"/>
      <c r="AF8" s="423"/>
      <c r="AG8" s="423"/>
      <c r="AH8" s="423"/>
      <c r="AI8" s="423"/>
      <c r="AJ8" s="423"/>
      <c r="AK8" s="423"/>
      <c r="AL8" s="423"/>
      <c r="AM8" s="423"/>
      <c r="AN8" s="423"/>
      <c r="AO8" s="423"/>
      <c r="AP8" s="423"/>
      <c r="AQ8" s="423"/>
    </row>
    <row r="9" spans="1:43" s="522" customFormat="1" ht="12.75" customHeight="1">
      <c r="A9" s="4"/>
      <c r="B9" s="5"/>
      <c r="C9" s="5"/>
      <c r="D9" s="5"/>
      <c r="E9" s="5"/>
      <c r="F9" s="5"/>
      <c r="G9" s="5"/>
      <c r="H9" s="5"/>
      <c r="I9" s="5"/>
      <c r="J9" s="5"/>
      <c r="K9" s="5"/>
      <c r="L9" s="5"/>
      <c r="M9" s="9"/>
      <c r="N9" s="9"/>
      <c r="O9" s="9"/>
      <c r="P9" s="9"/>
      <c r="Q9" s="441"/>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row>
    <row r="10" spans="1:43" s="525" customFormat="1" ht="15" customHeight="1">
      <c r="A10" s="207"/>
      <c r="B10" s="333"/>
      <c r="C10" s="337">
        <v>1</v>
      </c>
      <c r="D10" s="988" t="str">
        <f>Translations!$B$1492&amp;" "&amp;C10</f>
        <v>Installation AVANT fusion, scission ou transfert 1</v>
      </c>
      <c r="E10" s="989"/>
      <c r="F10" s="989"/>
      <c r="G10" s="989"/>
      <c r="H10" s="989"/>
      <c r="I10" s="989"/>
      <c r="J10" s="989"/>
      <c r="K10" s="989"/>
      <c r="L10" s="989"/>
      <c r="M10" s="989"/>
      <c r="N10" s="989"/>
      <c r="O10" s="333"/>
      <c r="P10" s="333"/>
      <c r="Q10" s="445"/>
      <c r="R10" s="445"/>
      <c r="S10" s="445"/>
      <c r="T10" s="445"/>
      <c r="U10" s="445"/>
      <c r="V10" s="445"/>
      <c r="W10" s="445"/>
      <c r="X10" s="445"/>
      <c r="Y10" s="445"/>
      <c r="Z10" s="445"/>
      <c r="AA10" s="445"/>
      <c r="AB10" s="423"/>
      <c r="AC10" s="423"/>
      <c r="AD10" s="423"/>
      <c r="AE10" s="423"/>
      <c r="AF10" s="423"/>
      <c r="AG10" s="423"/>
      <c r="AH10" s="423"/>
      <c r="AI10" s="423"/>
      <c r="AJ10" s="423"/>
      <c r="AK10" s="423"/>
      <c r="AL10" s="423"/>
      <c r="AM10" s="423"/>
      <c r="AN10" s="423"/>
      <c r="AO10" s="423"/>
      <c r="AP10" s="423"/>
      <c r="AQ10" s="423"/>
    </row>
    <row r="11" spans="1:43" s="522" customFormat="1" ht="12.75" customHeight="1">
      <c r="A11" s="4"/>
      <c r="B11" s="5"/>
      <c r="C11" s="5"/>
      <c r="D11" s="99" t="s">
        <v>463</v>
      </c>
      <c r="E11" s="743" t="str">
        <f>Translations!$B$346</f>
        <v>Dénomination de l'installation:</v>
      </c>
      <c r="F11" s="742"/>
      <c r="G11" s="742"/>
      <c r="H11" s="742"/>
      <c r="I11" s="818"/>
      <c r="J11" s="836">
        <f>IF(S11=0,"",S11)</f>
      </c>
      <c r="K11" s="837"/>
      <c r="L11" s="837"/>
      <c r="M11" s="837"/>
      <c r="N11" s="838"/>
      <c r="O11" s="9"/>
      <c r="P11" s="9"/>
      <c r="Q11" s="441"/>
      <c r="R11" s="446">
        <f>C10</f>
        <v>1</v>
      </c>
      <c r="S11" s="423">
        <f>INDEX(A_InstallationData!$S$200:$S$273,MATCH(R11,A_InstallationData!$R$200:$R$273,0))</f>
      </c>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row>
    <row r="12" spans="1:43" s="522" customFormat="1" ht="12.75" customHeight="1">
      <c r="A12" s="4"/>
      <c r="B12" s="5"/>
      <c r="C12" s="5"/>
      <c r="D12" s="99" t="s">
        <v>246</v>
      </c>
      <c r="E12" s="743" t="str">
        <f>Translations!$B$354</f>
        <v>Identificateur unique proposé aux fins de la notification à la Commission:</v>
      </c>
      <c r="F12" s="742"/>
      <c r="G12" s="742"/>
      <c r="H12" s="742"/>
      <c r="I12" s="818"/>
      <c r="J12" s="836">
        <f>INDEX(A_InstallationData!$J$200:$J$273,MATCH(R12,A_InstallationData!$R$200:$R$273,0))</f>
      </c>
      <c r="K12" s="837"/>
      <c r="L12" s="837"/>
      <c r="M12" s="837"/>
      <c r="N12" s="838"/>
      <c r="O12" s="9"/>
      <c r="P12" s="9"/>
      <c r="Q12" s="441"/>
      <c r="R12" s="446">
        <f>R11</f>
        <v>1</v>
      </c>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row>
    <row r="13" spans="1:43" s="522" customFormat="1" ht="12.75" customHeight="1">
      <c r="A13" s="4"/>
      <c r="B13" s="5"/>
      <c r="C13" s="5"/>
      <c r="D13" s="5"/>
      <c r="E13" s="5"/>
      <c r="F13" s="5"/>
      <c r="G13" s="5"/>
      <c r="H13" s="5"/>
      <c r="I13" s="5"/>
      <c r="J13" s="5"/>
      <c r="K13" s="5"/>
      <c r="L13" s="5"/>
      <c r="M13" s="5"/>
      <c r="N13" s="5"/>
      <c r="O13" s="9"/>
      <c r="P13" s="9"/>
      <c r="Q13" s="441"/>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row>
    <row r="14" spans="1:43" s="525" customFormat="1" ht="15" customHeight="1">
      <c r="A14" s="207"/>
      <c r="B14" s="333"/>
      <c r="C14" s="337">
        <v>2</v>
      </c>
      <c r="D14" s="988" t="str">
        <f>Translations!$B$1492&amp;" "&amp;C14</f>
        <v>Installation AVANT fusion, scission ou transfert 2</v>
      </c>
      <c r="E14" s="989"/>
      <c r="F14" s="989"/>
      <c r="G14" s="989"/>
      <c r="H14" s="989"/>
      <c r="I14" s="989"/>
      <c r="J14" s="989"/>
      <c r="K14" s="989"/>
      <c r="L14" s="989"/>
      <c r="M14" s="989"/>
      <c r="N14" s="989"/>
      <c r="O14" s="333"/>
      <c r="P14" s="333"/>
      <c r="Q14" s="445"/>
      <c r="R14" s="445"/>
      <c r="S14" s="445"/>
      <c r="T14" s="445"/>
      <c r="U14" s="445"/>
      <c r="V14" s="445"/>
      <c r="W14" s="445"/>
      <c r="X14" s="445"/>
      <c r="Y14" s="445"/>
      <c r="Z14" s="445"/>
      <c r="AA14" s="445"/>
      <c r="AB14" s="423"/>
      <c r="AC14" s="423"/>
      <c r="AD14" s="423"/>
      <c r="AE14" s="423"/>
      <c r="AF14" s="423"/>
      <c r="AG14" s="423"/>
      <c r="AH14" s="423"/>
      <c r="AI14" s="423"/>
      <c r="AJ14" s="423"/>
      <c r="AK14" s="423"/>
      <c r="AL14" s="423"/>
      <c r="AM14" s="423"/>
      <c r="AN14" s="423"/>
      <c r="AO14" s="423"/>
      <c r="AP14" s="423"/>
      <c r="AQ14" s="423"/>
    </row>
    <row r="15" spans="1:43" s="522" customFormat="1" ht="12.75" customHeight="1">
      <c r="A15" s="4"/>
      <c r="B15" s="5"/>
      <c r="C15" s="5"/>
      <c r="D15" s="14" t="s">
        <v>463</v>
      </c>
      <c r="E15" s="743" t="str">
        <f>Translations!$B$346</f>
        <v>Dénomination de l'installation:</v>
      </c>
      <c r="F15" s="742"/>
      <c r="G15" s="742"/>
      <c r="H15" s="742"/>
      <c r="I15" s="818"/>
      <c r="J15" s="836">
        <f>IF(S15=0,"",S15)</f>
      </c>
      <c r="K15" s="837"/>
      <c r="L15" s="837"/>
      <c r="M15" s="837"/>
      <c r="N15" s="838"/>
      <c r="O15" s="9"/>
      <c r="P15" s="9"/>
      <c r="Q15" s="441"/>
      <c r="R15" s="446">
        <f>C14</f>
        <v>2</v>
      </c>
      <c r="S15" s="423">
        <f>INDEX(A_InstallationData!$S$200:$S$273,MATCH(R15,A_InstallationData!$R$200:$R$273,0))</f>
        <v>0</v>
      </c>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row>
    <row r="16" spans="1:43" s="522" customFormat="1" ht="12.75" customHeight="1">
      <c r="A16" s="4"/>
      <c r="B16" s="5"/>
      <c r="C16" s="5"/>
      <c r="D16" s="14" t="s">
        <v>246</v>
      </c>
      <c r="E16" s="743" t="str">
        <f>Translations!$B$354</f>
        <v>Identificateur unique proposé aux fins de la notification à la Commission:</v>
      </c>
      <c r="F16" s="742"/>
      <c r="G16" s="742"/>
      <c r="H16" s="742"/>
      <c r="I16" s="818"/>
      <c r="J16" s="836">
        <f>INDEX(A_InstallationData!$J$200:$J$273,MATCH(R16,A_InstallationData!$R$200:$R$273,0))</f>
      </c>
      <c r="K16" s="837"/>
      <c r="L16" s="837"/>
      <c r="M16" s="837"/>
      <c r="N16" s="838"/>
      <c r="O16" s="9"/>
      <c r="P16" s="9"/>
      <c r="Q16" s="441"/>
      <c r="R16" s="446">
        <f>R15</f>
        <v>2</v>
      </c>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row>
    <row r="17" spans="1:43" s="522" customFormat="1" ht="12.75" customHeight="1">
      <c r="A17" s="4"/>
      <c r="B17" s="5"/>
      <c r="C17" s="5"/>
      <c r="D17" s="5"/>
      <c r="E17" s="5"/>
      <c r="F17" s="5"/>
      <c r="G17" s="5"/>
      <c r="H17" s="5"/>
      <c r="I17" s="5"/>
      <c r="J17" s="5"/>
      <c r="K17" s="5"/>
      <c r="L17" s="5"/>
      <c r="M17" s="9"/>
      <c r="N17" s="9"/>
      <c r="O17" s="9"/>
      <c r="P17" s="9"/>
      <c r="Q17" s="441"/>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row>
    <row r="18" spans="1:43" s="525" customFormat="1" ht="15" customHeight="1">
      <c r="A18" s="207"/>
      <c r="B18" s="333"/>
      <c r="C18" s="337">
        <v>3</v>
      </c>
      <c r="D18" s="988" t="str">
        <f>Translations!$B$1493&amp;" "&amp;C18</f>
        <v>Installation APRÈS fusion, scission ou transfert (pour laquelle la présente demande est soumise) 3</v>
      </c>
      <c r="E18" s="989"/>
      <c r="F18" s="989"/>
      <c r="G18" s="989"/>
      <c r="H18" s="989"/>
      <c r="I18" s="989"/>
      <c r="J18" s="989"/>
      <c r="K18" s="989"/>
      <c r="L18" s="989"/>
      <c r="M18" s="989"/>
      <c r="N18" s="989"/>
      <c r="O18" s="333"/>
      <c r="P18" s="333"/>
      <c r="Q18" s="445"/>
      <c r="R18" s="445"/>
      <c r="S18" s="445"/>
      <c r="T18" s="445"/>
      <c r="U18" s="445"/>
      <c r="V18" s="445"/>
      <c r="W18" s="445"/>
      <c r="X18" s="445"/>
      <c r="Y18" s="445"/>
      <c r="Z18" s="445"/>
      <c r="AA18" s="445"/>
      <c r="AB18" s="423"/>
      <c r="AC18" s="423"/>
      <c r="AD18" s="423"/>
      <c r="AE18" s="423"/>
      <c r="AF18" s="423"/>
      <c r="AG18" s="423"/>
      <c r="AH18" s="423"/>
      <c r="AI18" s="423"/>
      <c r="AJ18" s="423"/>
      <c r="AK18" s="423"/>
      <c r="AL18" s="423"/>
      <c r="AM18" s="423"/>
      <c r="AN18" s="423"/>
      <c r="AO18" s="423"/>
      <c r="AP18" s="423"/>
      <c r="AQ18" s="423"/>
    </row>
    <row r="19" spans="1:43" s="522" customFormat="1" ht="12.75" customHeight="1">
      <c r="A19" s="4"/>
      <c r="B19" s="5"/>
      <c r="C19" s="5"/>
      <c r="D19" s="99" t="s">
        <v>463</v>
      </c>
      <c r="E19" s="743" t="str">
        <f>Translations!$B$346</f>
        <v>Dénomination de l'installation:</v>
      </c>
      <c r="F19" s="742"/>
      <c r="G19" s="742"/>
      <c r="H19" s="742"/>
      <c r="I19" s="818"/>
      <c r="J19" s="836">
        <f>IF(S19=0,"",S19)</f>
      </c>
      <c r="K19" s="837"/>
      <c r="L19" s="837"/>
      <c r="M19" s="837"/>
      <c r="N19" s="838"/>
      <c r="O19" s="9"/>
      <c r="P19" s="9"/>
      <c r="Q19" s="441"/>
      <c r="R19" s="446">
        <f>C18</f>
        <v>3</v>
      </c>
      <c r="S19" s="423">
        <f>INDEX(A_InstallationData!$S$200:$S$273,MATCH(R19,A_InstallationData!$R$200:$R$273,0))</f>
      </c>
      <c r="T19" s="423"/>
      <c r="U19" s="423"/>
      <c r="V19" s="423"/>
      <c r="W19" s="423"/>
      <c r="X19" s="423"/>
      <c r="Y19" s="423"/>
      <c r="Z19" s="423"/>
      <c r="AA19" s="423"/>
      <c r="AB19" s="423"/>
      <c r="AC19" s="423"/>
      <c r="AD19" s="423"/>
      <c r="AE19" s="423"/>
      <c r="AF19" s="423"/>
      <c r="AG19" s="423"/>
      <c r="AH19" s="423"/>
      <c r="AI19" s="423"/>
      <c r="AJ19" s="423"/>
      <c r="AK19" s="423"/>
      <c r="AL19" s="423"/>
      <c r="AM19" s="423"/>
      <c r="AN19" s="423"/>
      <c r="AO19" s="423"/>
      <c r="AP19" s="423"/>
      <c r="AQ19" s="423"/>
    </row>
    <row r="20" spans="1:43" s="522" customFormat="1" ht="12.75" customHeight="1">
      <c r="A20" s="4"/>
      <c r="B20" s="5"/>
      <c r="C20" s="5"/>
      <c r="D20" s="99" t="s">
        <v>246</v>
      </c>
      <c r="E20" s="743" t="str">
        <f>Translations!$B$354</f>
        <v>Identificateur unique proposé aux fins de la notification à la Commission:</v>
      </c>
      <c r="F20" s="742"/>
      <c r="G20" s="742"/>
      <c r="H20" s="742"/>
      <c r="I20" s="818"/>
      <c r="J20" s="836">
        <f>INDEX(A_InstallationData!$J$200:$J$273,MATCH(R20,A_InstallationData!$R$200:$R$273,0))</f>
      </c>
      <c r="K20" s="837"/>
      <c r="L20" s="837"/>
      <c r="M20" s="837"/>
      <c r="N20" s="838"/>
      <c r="O20" s="9"/>
      <c r="P20" s="9"/>
      <c r="Q20" s="441"/>
      <c r="R20" s="446">
        <f>R19</f>
        <v>3</v>
      </c>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row>
    <row r="21" spans="1:43" s="522" customFormat="1" ht="12.75" customHeight="1">
      <c r="A21" s="4"/>
      <c r="B21" s="5"/>
      <c r="C21" s="5"/>
      <c r="D21" s="5"/>
      <c r="E21" s="5"/>
      <c r="F21" s="5"/>
      <c r="G21" s="5"/>
      <c r="H21" s="5"/>
      <c r="I21" s="5"/>
      <c r="J21" s="5"/>
      <c r="K21" s="5"/>
      <c r="L21" s="5"/>
      <c r="M21" s="9"/>
      <c r="N21" s="9"/>
      <c r="O21" s="9"/>
      <c r="P21" s="9"/>
      <c r="Q21" s="441"/>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row>
    <row r="22" spans="1:43" s="525" customFormat="1" ht="15" customHeight="1">
      <c r="A22" s="207"/>
      <c r="B22" s="333"/>
      <c r="C22" s="337">
        <v>4</v>
      </c>
      <c r="D22" s="988" t="str">
        <f>Translations!$B$1494&amp;" "&amp;C22</f>
        <v>Installation APRÈS fusion, scission ou transfert 4</v>
      </c>
      <c r="E22" s="989"/>
      <c r="F22" s="989"/>
      <c r="G22" s="989"/>
      <c r="H22" s="989"/>
      <c r="I22" s="989"/>
      <c r="J22" s="989"/>
      <c r="K22" s="989"/>
      <c r="L22" s="989"/>
      <c r="M22" s="989"/>
      <c r="N22" s="989"/>
      <c r="O22" s="333"/>
      <c r="P22" s="333"/>
      <c r="Q22" s="445"/>
      <c r="R22" s="445"/>
      <c r="S22" s="445"/>
      <c r="T22" s="445"/>
      <c r="U22" s="445"/>
      <c r="V22" s="445"/>
      <c r="W22" s="445"/>
      <c r="X22" s="445"/>
      <c r="Y22" s="445"/>
      <c r="Z22" s="445"/>
      <c r="AA22" s="445"/>
      <c r="AB22" s="423"/>
      <c r="AC22" s="423"/>
      <c r="AD22" s="423"/>
      <c r="AE22" s="423"/>
      <c r="AF22" s="423"/>
      <c r="AG22" s="423"/>
      <c r="AH22" s="423"/>
      <c r="AI22" s="423"/>
      <c r="AJ22" s="423"/>
      <c r="AK22" s="423"/>
      <c r="AL22" s="423"/>
      <c r="AM22" s="423"/>
      <c r="AN22" s="423"/>
      <c r="AO22" s="423"/>
      <c r="AP22" s="423"/>
      <c r="AQ22" s="423"/>
    </row>
    <row r="23" spans="1:43" s="522" customFormat="1" ht="12.75" customHeight="1">
      <c r="A23" s="4"/>
      <c r="B23" s="5"/>
      <c r="C23" s="5"/>
      <c r="D23" s="99" t="s">
        <v>463</v>
      </c>
      <c r="E23" s="743" t="str">
        <f>Translations!$B$346</f>
        <v>Dénomination de l'installation:</v>
      </c>
      <c r="F23" s="742"/>
      <c r="G23" s="742"/>
      <c r="H23" s="742"/>
      <c r="I23" s="818"/>
      <c r="J23" s="836">
        <f>IF(S23=0,"",S23)</f>
      </c>
      <c r="K23" s="837"/>
      <c r="L23" s="837"/>
      <c r="M23" s="837"/>
      <c r="N23" s="838"/>
      <c r="O23" s="9"/>
      <c r="P23" s="9"/>
      <c r="Q23" s="441"/>
      <c r="R23" s="446">
        <f>C22</f>
        <v>4</v>
      </c>
      <c r="S23" s="423">
        <f>INDEX(A_InstallationData!$S$200:$S$273,MATCH(R23,A_InstallationData!$R$200:$R$273,0))</f>
        <v>0</v>
      </c>
      <c r="T23" s="423"/>
      <c r="U23" s="423"/>
      <c r="V23" s="423"/>
      <c r="W23" s="423"/>
      <c r="X23" s="423"/>
      <c r="Y23" s="423"/>
      <c r="Z23" s="423"/>
      <c r="AA23" s="423"/>
      <c r="AB23" s="423"/>
      <c r="AC23" s="423"/>
      <c r="AD23" s="423"/>
      <c r="AE23" s="423"/>
      <c r="AF23" s="423"/>
      <c r="AG23" s="423"/>
      <c r="AH23" s="423"/>
      <c r="AI23" s="423"/>
      <c r="AJ23" s="423"/>
      <c r="AK23" s="423"/>
      <c r="AL23" s="423"/>
      <c r="AM23" s="423"/>
      <c r="AN23" s="423"/>
      <c r="AO23" s="423"/>
      <c r="AP23" s="423"/>
      <c r="AQ23" s="423"/>
    </row>
    <row r="24" spans="1:43" s="522" customFormat="1" ht="12.75" customHeight="1">
      <c r="A24" s="4"/>
      <c r="B24" s="5"/>
      <c r="C24" s="5"/>
      <c r="D24" s="99" t="s">
        <v>246</v>
      </c>
      <c r="E24" s="743" t="str">
        <f>Translations!$B$354</f>
        <v>Identificateur unique proposé aux fins de la notification à la Commission:</v>
      </c>
      <c r="F24" s="742"/>
      <c r="G24" s="742"/>
      <c r="H24" s="742"/>
      <c r="I24" s="818"/>
      <c r="J24" s="836">
        <f>INDEX(A_InstallationData!$J$200:$J$273,MATCH(R24,A_InstallationData!$R$200:$R$273,0))</f>
      </c>
      <c r="K24" s="837"/>
      <c r="L24" s="837"/>
      <c r="M24" s="837"/>
      <c r="N24" s="838"/>
      <c r="O24" s="9"/>
      <c r="P24" s="9"/>
      <c r="Q24" s="441"/>
      <c r="R24" s="446">
        <f>R23</f>
        <v>4</v>
      </c>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3"/>
    </row>
    <row r="25" spans="1:43" s="522" customFormat="1" ht="25.5" customHeight="1">
      <c r="A25" s="4"/>
      <c r="B25" s="5"/>
      <c r="C25" s="5"/>
      <c r="D25" s="5"/>
      <c r="E25" s="5"/>
      <c r="F25" s="5"/>
      <c r="G25" s="5"/>
      <c r="H25" s="5"/>
      <c r="I25" s="5"/>
      <c r="J25" s="5"/>
      <c r="K25" s="5"/>
      <c r="L25" s="5"/>
      <c r="M25" s="9"/>
      <c r="N25" s="9"/>
      <c r="O25" s="9"/>
      <c r="P25" s="9"/>
      <c r="Q25" s="441"/>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3"/>
      <c r="AO25" s="423"/>
      <c r="AP25" s="423"/>
      <c r="AQ25" s="423"/>
    </row>
    <row r="26" spans="1:43" s="524" customFormat="1" ht="18" customHeight="1">
      <c r="A26" s="371"/>
      <c r="B26" s="208"/>
      <c r="C26" s="316" t="s">
        <v>73</v>
      </c>
      <c r="D26" s="332" t="str">
        <f>Translations!$B$944</f>
        <v>Données relatives à l'installation</v>
      </c>
      <c r="E26" s="332"/>
      <c r="F26" s="332"/>
      <c r="G26" s="332"/>
      <c r="H26" s="332"/>
      <c r="I26" s="332"/>
      <c r="J26" s="332"/>
      <c r="K26" s="332"/>
      <c r="L26" s="332"/>
      <c r="M26" s="332"/>
      <c r="N26" s="332"/>
      <c r="O26" s="209"/>
      <c r="P26" s="209"/>
      <c r="Q26" s="363"/>
      <c r="R26" s="363"/>
      <c r="S26" s="363"/>
      <c r="T26" s="363"/>
      <c r="U26" s="363"/>
      <c r="V26" s="363"/>
      <c r="W26" s="363"/>
      <c r="X26" s="363"/>
      <c r="Y26" s="363"/>
      <c r="Z26" s="363"/>
      <c r="AA26" s="363"/>
      <c r="AB26" s="423"/>
      <c r="AC26" s="423"/>
      <c r="AD26" s="423"/>
      <c r="AE26" s="423"/>
      <c r="AF26" s="423"/>
      <c r="AG26" s="423"/>
      <c r="AH26" s="423"/>
      <c r="AI26" s="423"/>
      <c r="AJ26" s="423"/>
      <c r="AK26" s="423"/>
      <c r="AL26" s="423"/>
      <c r="AM26" s="423"/>
      <c r="AN26" s="423"/>
      <c r="AO26" s="423"/>
      <c r="AP26" s="423"/>
      <c r="AQ26" s="423"/>
    </row>
    <row r="27" spans="1:43" s="528" customFormat="1" ht="4.5" customHeight="1">
      <c r="A27" s="319"/>
      <c r="B27" s="5"/>
      <c r="C27" s="5"/>
      <c r="D27" s="5"/>
      <c r="E27" s="5"/>
      <c r="F27" s="5"/>
      <c r="G27" s="5"/>
      <c r="H27" s="5"/>
      <c r="I27" s="5"/>
      <c r="J27" s="5"/>
      <c r="K27" s="5"/>
      <c r="L27" s="5"/>
      <c r="M27" s="9"/>
      <c r="N27" s="9"/>
      <c r="O27" s="9"/>
      <c r="P27" s="9"/>
      <c r="Q27" s="10"/>
      <c r="R27" s="10"/>
      <c r="S27" s="10"/>
      <c r="T27" s="10"/>
      <c r="U27" s="10"/>
      <c r="V27" s="10"/>
      <c r="W27" s="10"/>
      <c r="X27" s="10"/>
      <c r="Y27" s="10"/>
      <c r="Z27" s="10"/>
      <c r="AA27" s="10"/>
      <c r="AB27" s="423"/>
      <c r="AC27" s="423"/>
      <c r="AD27" s="423"/>
      <c r="AE27" s="423"/>
      <c r="AF27" s="423"/>
      <c r="AG27" s="423"/>
      <c r="AH27" s="423"/>
      <c r="AI27" s="423"/>
      <c r="AJ27" s="423"/>
      <c r="AK27" s="423"/>
      <c r="AL27" s="423"/>
      <c r="AM27" s="423"/>
      <c r="AN27" s="423"/>
      <c r="AO27" s="423"/>
      <c r="AP27" s="423"/>
      <c r="AQ27" s="423"/>
    </row>
    <row r="28" spans="1:43" s="528" customFormat="1" ht="12.75" customHeight="1">
      <c r="A28" s="319"/>
      <c r="B28" s="5"/>
      <c r="C28" s="5"/>
      <c r="D28" s="5"/>
      <c r="E28" s="5"/>
      <c r="F28" s="5"/>
      <c r="G28" s="5"/>
      <c r="H28" s="5"/>
      <c r="I28" s="5"/>
      <c r="J28" s="5"/>
      <c r="K28" s="5"/>
      <c r="L28" s="5"/>
      <c r="M28" s="9"/>
      <c r="N28" s="9"/>
      <c r="O28" s="9"/>
      <c r="P28" s="9"/>
      <c r="Q28" s="10"/>
      <c r="R28" s="10"/>
      <c r="S28" s="10"/>
      <c r="T28" s="10"/>
      <c r="U28" s="10"/>
      <c r="V28" s="10"/>
      <c r="W28" s="10"/>
      <c r="X28" s="10"/>
      <c r="Y28" s="10"/>
      <c r="Z28" s="10"/>
      <c r="AA28" s="10"/>
      <c r="AB28" s="423"/>
      <c r="AC28" s="423"/>
      <c r="AD28" s="423"/>
      <c r="AE28" s="423"/>
      <c r="AF28" s="423"/>
      <c r="AG28" s="423"/>
      <c r="AH28" s="423"/>
      <c r="AI28" s="423"/>
      <c r="AJ28" s="423"/>
      <c r="AK28" s="423"/>
      <c r="AL28" s="423"/>
      <c r="AM28" s="423"/>
      <c r="AN28" s="423"/>
      <c r="AO28" s="423"/>
      <c r="AP28" s="423"/>
      <c r="AQ28" s="423"/>
    </row>
    <row r="29" spans="1:43" s="528" customFormat="1" ht="4.5" customHeight="1">
      <c r="A29" s="319"/>
      <c r="B29" s="5"/>
      <c r="C29" s="5"/>
      <c r="D29" s="5"/>
      <c r="E29" s="5"/>
      <c r="F29" s="5"/>
      <c r="G29" s="5"/>
      <c r="H29" s="5"/>
      <c r="I29" s="5"/>
      <c r="J29" s="5"/>
      <c r="K29" s="5"/>
      <c r="L29" s="5"/>
      <c r="M29" s="9"/>
      <c r="N29" s="9"/>
      <c r="O29" s="9"/>
      <c r="P29" s="9"/>
      <c r="Q29" s="10"/>
      <c r="R29" s="10"/>
      <c r="S29" s="10"/>
      <c r="T29" s="10"/>
      <c r="U29" s="10"/>
      <c r="V29" s="10"/>
      <c r="W29" s="10"/>
      <c r="X29" s="10"/>
      <c r="Y29" s="10"/>
      <c r="Z29" s="10"/>
      <c r="AA29" s="10"/>
      <c r="AB29" s="423"/>
      <c r="AC29" s="423"/>
      <c r="AD29" s="423"/>
      <c r="AE29" s="423"/>
      <c r="AF29" s="423"/>
      <c r="AG29" s="423"/>
      <c r="AH29" s="423"/>
      <c r="AI29" s="423"/>
      <c r="AJ29" s="423"/>
      <c r="AK29" s="423"/>
      <c r="AL29" s="423"/>
      <c r="AM29" s="423"/>
      <c r="AN29" s="423"/>
      <c r="AO29" s="423"/>
      <c r="AP29" s="423"/>
      <c r="AQ29" s="423"/>
    </row>
    <row r="30" spans="1:43" s="522" customFormat="1" ht="25.5" customHeight="1">
      <c r="A30" s="4"/>
      <c r="B30" s="5"/>
      <c r="C30" s="5"/>
      <c r="D30" s="5"/>
      <c r="E30" s="1015">
        <f>IF(ISBLANK(A_InstallationData!E13),"",A_InstallationData!E13)</f>
      </c>
      <c r="F30" s="1015"/>
      <c r="G30" s="1015"/>
      <c r="H30" s="1015"/>
      <c r="I30" s="1015"/>
      <c r="J30" s="1015"/>
      <c r="K30" s="1015"/>
      <c r="L30" s="1015"/>
      <c r="M30" s="1015"/>
      <c r="N30" s="1015"/>
      <c r="O30" s="9"/>
      <c r="P30" s="9"/>
      <c r="Q30" s="441"/>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row>
    <row r="31" spans="1:43" s="528" customFormat="1" ht="25.5" customHeight="1">
      <c r="A31" s="319"/>
      <c r="B31" s="215"/>
      <c r="C31" s="215"/>
      <c r="D31" s="215"/>
      <c r="E31" s="1015">
        <f>IF(CNTR_HasEntries_A_II,IF(ISBLANK(A_InstallationData!E36),EUconst_ERR_Mandatory_g,A_InstallationData!E36),"")</f>
      </c>
      <c r="F31" s="1015"/>
      <c r="G31" s="1015"/>
      <c r="H31" s="1015"/>
      <c r="I31" s="1015"/>
      <c r="J31" s="1015"/>
      <c r="K31" s="1015"/>
      <c r="L31" s="1015"/>
      <c r="M31" s="1015"/>
      <c r="N31" s="1015"/>
      <c r="O31" s="215"/>
      <c r="P31" s="9"/>
      <c r="Q31" s="441"/>
      <c r="R31" s="319"/>
      <c r="S31" s="319"/>
      <c r="T31" s="319"/>
      <c r="U31" s="319"/>
      <c r="V31" s="319"/>
      <c r="W31" s="319"/>
      <c r="X31" s="319"/>
      <c r="Y31" s="319"/>
      <c r="Z31" s="319"/>
      <c r="AA31" s="319"/>
      <c r="AB31" s="423"/>
      <c r="AC31" s="423"/>
      <c r="AD31" s="423"/>
      <c r="AE31" s="423"/>
      <c r="AF31" s="423"/>
      <c r="AG31" s="423"/>
      <c r="AH31" s="423"/>
      <c r="AI31" s="423"/>
      <c r="AJ31" s="423"/>
      <c r="AK31" s="423"/>
      <c r="AL31" s="423"/>
      <c r="AM31" s="423"/>
      <c r="AN31" s="423"/>
      <c r="AO31" s="423"/>
      <c r="AP31" s="423"/>
      <c r="AQ31" s="423"/>
    </row>
    <row r="32" spans="1:43" s="522" customFormat="1" ht="12.75" customHeight="1">
      <c r="A32" s="4"/>
      <c r="B32" s="5"/>
      <c r="C32" s="5"/>
      <c r="D32" s="5"/>
      <c r="E32" s="5"/>
      <c r="F32" s="5"/>
      <c r="G32" s="5"/>
      <c r="H32" s="5"/>
      <c r="I32" s="5"/>
      <c r="J32" s="5"/>
      <c r="K32" s="5"/>
      <c r="L32" s="5"/>
      <c r="M32" s="9"/>
      <c r="N32" s="9"/>
      <c r="O32" s="9"/>
      <c r="P32" s="9"/>
      <c r="Q32" s="441"/>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row>
    <row r="33" spans="1:43" s="528" customFormat="1" ht="15">
      <c r="A33" s="319"/>
      <c r="B33" s="215"/>
      <c r="C33" s="16">
        <v>1</v>
      </c>
      <c r="D33" s="817" t="str">
        <f>Translations!$B$345</f>
        <v>Informations générales:</v>
      </c>
      <c r="E33" s="742"/>
      <c r="F33" s="742"/>
      <c r="G33" s="742"/>
      <c r="H33" s="742"/>
      <c r="I33" s="742"/>
      <c r="J33" s="742"/>
      <c r="K33" s="742"/>
      <c r="L33" s="742"/>
      <c r="M33" s="742"/>
      <c r="N33" s="742"/>
      <c r="O33" s="215"/>
      <c r="P33" s="9"/>
      <c r="Q33" s="319"/>
      <c r="R33" s="319"/>
      <c r="S33" s="319"/>
      <c r="T33" s="319"/>
      <c r="U33" s="319"/>
      <c r="V33" s="319"/>
      <c r="W33" s="319"/>
      <c r="X33" s="319"/>
      <c r="Y33" s="319"/>
      <c r="Z33" s="319"/>
      <c r="AA33" s="319"/>
      <c r="AB33" s="423"/>
      <c r="AC33" s="423"/>
      <c r="AD33" s="423"/>
      <c r="AE33" s="423"/>
      <c r="AF33" s="423"/>
      <c r="AG33" s="423"/>
      <c r="AH33" s="423"/>
      <c r="AI33" s="423"/>
      <c r="AJ33" s="423"/>
      <c r="AK33" s="423"/>
      <c r="AL33" s="423"/>
      <c r="AM33" s="423"/>
      <c r="AN33" s="423"/>
      <c r="AO33" s="423"/>
      <c r="AP33" s="423"/>
      <c r="AQ33" s="423"/>
    </row>
    <row r="34" spans="1:43" s="528" customFormat="1" ht="4.5" customHeight="1" thickBot="1">
      <c r="A34" s="319"/>
      <c r="B34" s="7"/>
      <c r="C34" s="7"/>
      <c r="D34" s="7"/>
      <c r="E34" s="7"/>
      <c r="F34" s="7"/>
      <c r="G34" s="7"/>
      <c r="H34" s="7"/>
      <c r="I34" s="7"/>
      <c r="J34" s="7"/>
      <c r="K34" s="7"/>
      <c r="L34" s="7"/>
      <c r="M34" s="23"/>
      <c r="N34" s="23"/>
      <c r="O34" s="23"/>
      <c r="P34" s="9"/>
      <c r="Q34" s="10"/>
      <c r="R34" s="10"/>
      <c r="S34" s="319"/>
      <c r="T34" s="319"/>
      <c r="U34" s="319"/>
      <c r="V34" s="319"/>
      <c r="W34" s="319"/>
      <c r="X34" s="319"/>
      <c r="Y34" s="319"/>
      <c r="Z34" s="319"/>
      <c r="AA34" s="319"/>
      <c r="AB34" s="423"/>
      <c r="AC34" s="423"/>
      <c r="AD34" s="423"/>
      <c r="AE34" s="423"/>
      <c r="AF34" s="423"/>
      <c r="AG34" s="423"/>
      <c r="AH34" s="423"/>
      <c r="AI34" s="423"/>
      <c r="AJ34" s="423"/>
      <c r="AK34" s="423"/>
      <c r="AL34" s="423"/>
      <c r="AM34" s="423"/>
      <c r="AN34" s="423"/>
      <c r="AO34" s="423"/>
      <c r="AP34" s="423"/>
      <c r="AQ34" s="423"/>
    </row>
    <row r="35" spans="1:43" s="528" customFormat="1" ht="13.5" thickBot="1">
      <c r="A35" s="319"/>
      <c r="B35" s="215"/>
      <c r="C35" s="215"/>
      <c r="D35" s="193"/>
      <c r="E35" s="213" t="str">
        <f>Translations!$B$949</f>
        <v>Identificateur d'installation</v>
      </c>
      <c r="F35" s="95"/>
      <c r="G35" s="215"/>
      <c r="H35" s="1007">
        <f>CNTR_UniqueID</f>
      </c>
      <c r="I35" s="728"/>
      <c r="J35" s="215"/>
      <c r="K35" s="213" t="str">
        <f>Translations!$B$950</f>
        <v>État membre:</v>
      </c>
      <c r="L35" s="216"/>
      <c r="M35" s="1007">
        <f>IF(ISBLANK(A_InstallationData!$J$51),"",A_InstallationData!$J$51)</f>
      </c>
      <c r="N35" s="728"/>
      <c r="O35" s="215"/>
      <c r="P35" s="215"/>
      <c r="Q35" s="458">
        <v>3</v>
      </c>
      <c r="R35" s="319"/>
      <c r="S35" s="319"/>
      <c r="T35" s="319"/>
      <c r="U35" s="319"/>
      <c r="V35" s="319"/>
      <c r="W35" s="319"/>
      <c r="X35" s="319"/>
      <c r="Y35" s="319"/>
      <c r="Z35" s="319"/>
      <c r="AA35" s="319"/>
      <c r="AB35" s="423"/>
      <c r="AC35" s="423"/>
      <c r="AD35" s="423"/>
      <c r="AE35" s="423"/>
      <c r="AF35" s="423"/>
      <c r="AG35" s="423"/>
      <c r="AH35" s="423"/>
      <c r="AI35" s="423"/>
      <c r="AJ35" s="423"/>
      <c r="AK35" s="423"/>
      <c r="AL35" s="423"/>
      <c r="AM35" s="423"/>
      <c r="AN35" s="423"/>
      <c r="AO35" s="423"/>
      <c r="AP35" s="423"/>
      <c r="AQ35" s="423"/>
    </row>
    <row r="36" spans="1:43" s="528" customFormat="1" ht="12.75">
      <c r="A36" s="319"/>
      <c r="B36" s="215"/>
      <c r="C36" s="215"/>
      <c r="D36" s="193"/>
      <c r="E36" s="213" t="str">
        <f>Translations!$B$346</f>
        <v>Dénomination de l'installation:</v>
      </c>
      <c r="F36" s="95"/>
      <c r="G36" s="215"/>
      <c r="H36" s="1007">
        <f>J19</f>
      </c>
      <c r="I36" s="1020"/>
      <c r="J36" s="1020"/>
      <c r="K36" s="1020"/>
      <c r="L36" s="728"/>
      <c r="M36" s="215"/>
      <c r="N36" s="215"/>
      <c r="O36" s="215"/>
      <c r="P36" s="215"/>
      <c r="Q36" s="319"/>
      <c r="R36" s="319"/>
      <c r="S36" s="319"/>
      <c r="T36" s="319"/>
      <c r="U36" s="319"/>
      <c r="V36" s="319"/>
      <c r="W36" s="319"/>
      <c r="X36" s="319"/>
      <c r="Y36" s="319"/>
      <c r="Z36" s="319"/>
      <c r="AA36" s="319"/>
      <c r="AB36" s="423"/>
      <c r="AC36" s="423"/>
      <c r="AD36" s="423"/>
      <c r="AE36" s="423"/>
      <c r="AF36" s="423"/>
      <c r="AG36" s="423"/>
      <c r="AH36" s="423"/>
      <c r="AI36" s="423"/>
      <c r="AJ36" s="423"/>
      <c r="AK36" s="423"/>
      <c r="AL36" s="423"/>
      <c r="AM36" s="423"/>
      <c r="AN36" s="423"/>
      <c r="AO36" s="423"/>
      <c r="AP36" s="423"/>
      <c r="AQ36" s="423"/>
    </row>
    <row r="37" spans="1:43" s="528" customFormat="1" ht="12.75">
      <c r="A37" s="319"/>
      <c r="B37" s="215"/>
      <c r="C37" s="215"/>
      <c r="D37" s="193"/>
      <c r="E37" s="213" t="str">
        <f>Translations!$B$365</f>
        <v>Nom de l’exploitant:</v>
      </c>
      <c r="F37" s="95"/>
      <c r="G37" s="215"/>
      <c r="H37" s="1007">
        <f>IF(ISBLANK(A_InstallationData!$J$81),"",A_InstallationData!$J$81)</f>
      </c>
      <c r="I37" s="1020"/>
      <c r="J37" s="1020"/>
      <c r="K37" s="1020"/>
      <c r="L37" s="728"/>
      <c r="M37" s="215"/>
      <c r="N37" s="215"/>
      <c r="O37" s="215"/>
      <c r="P37" s="215"/>
      <c r="Q37" s="319"/>
      <c r="R37" s="319"/>
      <c r="S37" s="319"/>
      <c r="T37" s="319"/>
      <c r="U37" s="319"/>
      <c r="V37" s="319"/>
      <c r="W37" s="319"/>
      <c r="X37" s="319"/>
      <c r="Y37" s="319"/>
      <c r="Z37" s="319"/>
      <c r="AA37" s="319"/>
      <c r="AB37" s="423"/>
      <c r="AC37" s="423"/>
      <c r="AD37" s="423"/>
      <c r="AE37" s="423"/>
      <c r="AF37" s="423"/>
      <c r="AG37" s="423"/>
      <c r="AH37" s="423"/>
      <c r="AI37" s="423"/>
      <c r="AJ37" s="423"/>
      <c r="AK37" s="423"/>
      <c r="AL37" s="423"/>
      <c r="AM37" s="423"/>
      <c r="AN37" s="423"/>
      <c r="AO37" s="423"/>
      <c r="AP37" s="423"/>
      <c r="AQ37" s="423"/>
    </row>
    <row r="38" spans="1:43" s="528" customFormat="1" ht="4.5" customHeight="1">
      <c r="A38" s="319"/>
      <c r="B38" s="215"/>
      <c r="C38" s="215"/>
      <c r="D38" s="193"/>
      <c r="E38" s="213"/>
      <c r="F38" s="202"/>
      <c r="G38" s="215"/>
      <c r="H38" s="215"/>
      <c r="I38" s="215"/>
      <c r="J38" s="215"/>
      <c r="K38" s="215"/>
      <c r="L38" s="215"/>
      <c r="M38" s="305"/>
      <c r="N38" s="305"/>
      <c r="O38" s="215"/>
      <c r="P38" s="215"/>
      <c r="Q38" s="319"/>
      <c r="R38" s="319"/>
      <c r="S38" s="319"/>
      <c r="T38" s="319"/>
      <c r="U38" s="319"/>
      <c r="V38" s="319"/>
      <c r="W38" s="319"/>
      <c r="X38" s="319"/>
      <c r="Y38" s="319"/>
      <c r="Z38" s="319"/>
      <c r="AA38" s="319"/>
      <c r="AB38" s="423"/>
      <c r="AC38" s="423"/>
      <c r="AD38" s="423"/>
      <c r="AE38" s="423"/>
      <c r="AF38" s="423"/>
      <c r="AG38" s="423"/>
      <c r="AH38" s="423"/>
      <c r="AI38" s="423"/>
      <c r="AJ38" s="423"/>
      <c r="AK38" s="423"/>
      <c r="AL38" s="423"/>
      <c r="AM38" s="423"/>
      <c r="AN38" s="423"/>
      <c r="AO38" s="423"/>
      <c r="AP38" s="423"/>
      <c r="AQ38" s="423"/>
    </row>
    <row r="39" spans="1:43" s="528" customFormat="1" ht="12.75">
      <c r="A39" s="319"/>
      <c r="B39" s="215"/>
      <c r="C39" s="215"/>
      <c r="D39" s="193"/>
      <c r="E39" s="213" t="str">
        <f>Translations!$B$952</f>
        <v>Intégrée dans le SEQE auparavant:</v>
      </c>
      <c r="F39" s="95"/>
      <c r="G39" s="215"/>
      <c r="H39" s="220">
        <f>IF(ISBLANK(A_InstallationData!$J$54),"",A_InstallationData!$J$54)</f>
      </c>
      <c r="I39" s="101"/>
      <c r="J39" s="101"/>
      <c r="K39" s="26" t="str">
        <f>Translations!$B$974</f>
        <v>En activité occasionnellement:</v>
      </c>
      <c r="L39" s="215"/>
      <c r="M39" s="1022">
        <f>IF(ISBLANK(A_InstallationData!$L$144),"",A_InstallationData!$L$144)</f>
      </c>
      <c r="N39" s="1023"/>
      <c r="O39" s="215"/>
      <c r="P39" s="215"/>
      <c r="Q39" s="319"/>
      <c r="R39" s="319"/>
      <c r="S39" s="319"/>
      <c r="T39" s="319"/>
      <c r="U39" s="319"/>
      <c r="V39" s="319"/>
      <c r="W39" s="319"/>
      <c r="X39" s="319"/>
      <c r="Y39" s="319"/>
      <c r="Z39" s="319"/>
      <c r="AA39" s="319"/>
      <c r="AB39" s="423"/>
      <c r="AC39" s="423"/>
      <c r="AD39" s="423"/>
      <c r="AE39" s="423"/>
      <c r="AF39" s="423"/>
      <c r="AG39" s="423"/>
      <c r="AH39" s="423"/>
      <c r="AI39" s="423"/>
      <c r="AJ39" s="423"/>
      <c r="AK39" s="423"/>
      <c r="AL39" s="423"/>
      <c r="AM39" s="423"/>
      <c r="AN39" s="423"/>
      <c r="AO39" s="423"/>
      <c r="AP39" s="423"/>
      <c r="AQ39" s="423"/>
    </row>
    <row r="40" spans="1:43" s="528" customFormat="1" ht="12.75">
      <c r="A40" s="319"/>
      <c r="B40" s="215"/>
      <c r="C40" s="215"/>
      <c r="D40" s="193"/>
      <c r="E40" s="213" t="str">
        <f>Translations!$B$954</f>
        <v>Date du début de l'exploitation:</v>
      </c>
      <c r="F40" s="215"/>
      <c r="G40" s="215"/>
      <c r="H40" s="498">
        <f>IF(A_InstallationData!$Q$18="","",A_InstallationData!$Q$18)</f>
      </c>
      <c r="I40" s="215"/>
      <c r="J40" s="215"/>
      <c r="K40" s="215"/>
      <c r="L40" s="215"/>
      <c r="M40" s="215"/>
      <c r="N40" s="221"/>
      <c r="O40" s="215"/>
      <c r="P40" s="215"/>
      <c r="Q40" s="319"/>
      <c r="R40" s="319"/>
      <c r="S40" s="319"/>
      <c r="T40" s="319"/>
      <c r="U40" s="319"/>
      <c r="V40" s="319"/>
      <c r="W40" s="319"/>
      <c r="X40" s="319"/>
      <c r="Y40" s="319"/>
      <c r="Z40" s="319"/>
      <c r="AA40" s="319"/>
      <c r="AB40" s="423"/>
      <c r="AC40" s="423"/>
      <c r="AD40" s="423"/>
      <c r="AE40" s="423"/>
      <c r="AF40" s="423"/>
      <c r="AG40" s="423"/>
      <c r="AH40" s="423"/>
      <c r="AI40" s="423"/>
      <c r="AJ40" s="423"/>
      <c r="AK40" s="423"/>
      <c r="AL40" s="423"/>
      <c r="AM40" s="423"/>
      <c r="AN40" s="423"/>
      <c r="AO40" s="423"/>
      <c r="AP40" s="423"/>
      <c r="AQ40" s="423"/>
    </row>
    <row r="41" spans="1:43" s="528" customFormat="1" ht="4.5" customHeight="1">
      <c r="A41" s="319"/>
      <c r="B41" s="215"/>
      <c r="C41" s="215"/>
      <c r="D41" s="193"/>
      <c r="E41" s="213"/>
      <c r="F41" s="202"/>
      <c r="G41" s="215"/>
      <c r="H41" s="215"/>
      <c r="I41" s="215"/>
      <c r="J41" s="215"/>
      <c r="K41" s="215"/>
      <c r="L41" s="215"/>
      <c r="M41" s="305"/>
      <c r="N41" s="305"/>
      <c r="O41" s="215"/>
      <c r="P41" s="215"/>
      <c r="Q41" s="319"/>
      <c r="R41" s="319"/>
      <c r="S41" s="319"/>
      <c r="T41" s="319"/>
      <c r="U41" s="319"/>
      <c r="V41" s="319"/>
      <c r="W41" s="319"/>
      <c r="X41" s="319"/>
      <c r="Y41" s="319"/>
      <c r="Z41" s="319"/>
      <c r="AA41" s="319"/>
      <c r="AB41" s="423"/>
      <c r="AC41" s="423"/>
      <c r="AD41" s="423"/>
      <c r="AE41" s="423"/>
      <c r="AF41" s="423"/>
      <c r="AG41" s="423"/>
      <c r="AH41" s="423"/>
      <c r="AI41" s="423"/>
      <c r="AJ41" s="423"/>
      <c r="AK41" s="423"/>
      <c r="AL41" s="423"/>
      <c r="AM41" s="423"/>
      <c r="AN41" s="423"/>
      <c r="AO41" s="423"/>
      <c r="AP41" s="423"/>
      <c r="AQ41" s="423"/>
    </row>
    <row r="42" spans="1:43" s="528" customFormat="1" ht="12.75">
      <c r="A42" s="319"/>
      <c r="B42" s="215"/>
      <c r="C42" s="215"/>
      <c r="D42" s="215"/>
      <c r="E42" s="213" t="str">
        <f>Translations!$B$955</f>
        <v>Code NACE en 2007 (NACE rév. 1.1)</v>
      </c>
      <c r="F42" s="95"/>
      <c r="G42" s="97"/>
      <c r="H42" s="220">
        <f>IF(ISBLANK(A_InstallationData!$L$131),"",A_InstallationData!$L$131)</f>
      </c>
      <c r="I42" s="97"/>
      <c r="J42" s="97"/>
      <c r="K42" s="26" t="str">
        <f>Translations!$B$956</f>
        <v>Code d'identification utilisé dans l'EPRTR:</v>
      </c>
      <c r="L42" s="97"/>
      <c r="M42" s="1007">
        <f>IF(ISBLANK(A_InstallationData!$L$134),"",A_InstallationData!$L$134)</f>
      </c>
      <c r="N42" s="728"/>
      <c r="O42" s="215"/>
      <c r="P42" s="364"/>
      <c r="Q42" s="319"/>
      <c r="R42" s="319"/>
      <c r="S42" s="319"/>
      <c r="T42" s="319"/>
      <c r="U42" s="319"/>
      <c r="V42" s="319"/>
      <c r="W42" s="319"/>
      <c r="X42" s="319"/>
      <c r="Y42" s="319"/>
      <c r="Z42" s="319"/>
      <c r="AA42" s="319"/>
      <c r="AB42" s="423"/>
      <c r="AC42" s="423"/>
      <c r="AD42" s="423"/>
      <c r="AE42" s="423"/>
      <c r="AF42" s="423"/>
      <c r="AG42" s="423"/>
      <c r="AH42" s="423"/>
      <c r="AI42" s="423"/>
      <c r="AJ42" s="423"/>
      <c r="AK42" s="423"/>
      <c r="AL42" s="423"/>
      <c r="AM42" s="423"/>
      <c r="AN42" s="423"/>
      <c r="AO42" s="423"/>
      <c r="AP42" s="423"/>
      <c r="AQ42" s="423"/>
    </row>
    <row r="43" spans="1:43" s="528" customFormat="1" ht="12.75">
      <c r="A43" s="319"/>
      <c r="B43" s="215"/>
      <c r="C43" s="215"/>
      <c r="D43" s="193"/>
      <c r="E43" s="213" t="str">
        <f>Translations!$B$957</f>
        <v>Code NACE en 2010 (NACE rév. 2)</v>
      </c>
      <c r="F43" s="95"/>
      <c r="G43" s="97"/>
      <c r="H43" s="220">
        <f>IF(ISBLANK(A_InstallationData!$L$132),"",A_InstallationData!$L$132)</f>
      </c>
      <c r="I43" s="97"/>
      <c r="J43" s="97"/>
      <c r="K43" s="215"/>
      <c r="L43" s="215"/>
      <c r="M43" s="215"/>
      <c r="N43" s="215"/>
      <c r="O43" s="215"/>
      <c r="P43" s="215"/>
      <c r="Q43" s="319"/>
      <c r="R43" s="319"/>
      <c r="S43" s="319"/>
      <c r="T43" s="319"/>
      <c r="U43" s="319"/>
      <c r="V43" s="319"/>
      <c r="W43" s="319"/>
      <c r="X43" s="319"/>
      <c r="Y43" s="319"/>
      <c r="Z43" s="319"/>
      <c r="AA43" s="319"/>
      <c r="AB43" s="423"/>
      <c r="AC43" s="423"/>
      <c r="AD43" s="423"/>
      <c r="AE43" s="423"/>
      <c r="AF43" s="423"/>
      <c r="AG43" s="423"/>
      <c r="AH43" s="423"/>
      <c r="AI43" s="423"/>
      <c r="AJ43" s="423"/>
      <c r="AK43" s="423"/>
      <c r="AL43" s="423"/>
      <c r="AM43" s="423"/>
      <c r="AN43" s="423"/>
      <c r="AO43" s="423"/>
      <c r="AP43" s="423"/>
      <c r="AQ43" s="423"/>
    </row>
    <row r="44" spans="1:43" s="528" customFormat="1" ht="4.5" customHeight="1">
      <c r="A44" s="319"/>
      <c r="B44" s="215"/>
      <c r="C44" s="215"/>
      <c r="D44" s="193"/>
      <c r="E44" s="213"/>
      <c r="F44" s="202"/>
      <c r="G44" s="202"/>
      <c r="H44" s="202"/>
      <c r="I44" s="202"/>
      <c r="J44" s="202"/>
      <c r="K44" s="202"/>
      <c r="L44" s="202"/>
      <c r="M44" s="305"/>
      <c r="N44" s="305"/>
      <c r="O44" s="215"/>
      <c r="P44" s="215"/>
      <c r="Q44" s="319"/>
      <c r="R44" s="319"/>
      <c r="S44" s="319"/>
      <c r="T44" s="319"/>
      <c r="U44" s="319"/>
      <c r="V44" s="319"/>
      <c r="W44" s="319"/>
      <c r="X44" s="319"/>
      <c r="Y44" s="319"/>
      <c r="Z44" s="319"/>
      <c r="AA44" s="319"/>
      <c r="AB44" s="423"/>
      <c r="AC44" s="423"/>
      <c r="AD44" s="423"/>
      <c r="AE44" s="423"/>
      <c r="AF44" s="423"/>
      <c r="AG44" s="423"/>
      <c r="AH44" s="423"/>
      <c r="AI44" s="423"/>
      <c r="AJ44" s="423"/>
      <c r="AK44" s="423"/>
      <c r="AL44" s="423"/>
      <c r="AM44" s="423"/>
      <c r="AN44" s="423"/>
      <c r="AO44" s="423"/>
      <c r="AP44" s="423"/>
      <c r="AQ44" s="423"/>
    </row>
    <row r="45" spans="1:43" s="528" customFormat="1" ht="12.75">
      <c r="A45" s="319"/>
      <c r="B45" s="215"/>
      <c r="C45" s="215"/>
      <c r="D45" s="193"/>
      <c r="E45" s="213" t="str">
        <f>Translations!$B$392</f>
        <v>Activités au sens de l'annexe I de la directive SEQE-UE:</v>
      </c>
      <c r="F45" s="215"/>
      <c r="G45" s="215"/>
      <c r="H45" s="95"/>
      <c r="I45" s="95"/>
      <c r="J45" s="95"/>
      <c r="K45" s="95"/>
      <c r="L45" s="215"/>
      <c r="M45" s="221"/>
      <c r="N45" s="221"/>
      <c r="O45" s="215"/>
      <c r="P45" s="215"/>
      <c r="Q45" s="319"/>
      <c r="R45" s="319"/>
      <c r="S45" s="319"/>
      <c r="T45" s="319"/>
      <c r="U45" s="319"/>
      <c r="V45" s="319"/>
      <c r="W45" s="319"/>
      <c r="X45" s="319"/>
      <c r="Y45" s="319"/>
      <c r="Z45" s="319"/>
      <c r="AA45" s="319"/>
      <c r="AB45" s="423"/>
      <c r="AC45" s="423"/>
      <c r="AD45" s="423"/>
      <c r="AE45" s="423"/>
      <c r="AF45" s="423"/>
      <c r="AG45" s="423"/>
      <c r="AH45" s="423"/>
      <c r="AI45" s="423"/>
      <c r="AJ45" s="423"/>
      <c r="AK45" s="423"/>
      <c r="AL45" s="423"/>
      <c r="AM45" s="423"/>
      <c r="AN45" s="423"/>
      <c r="AO45" s="423"/>
      <c r="AP45" s="423"/>
      <c r="AQ45" s="423"/>
    </row>
    <row r="46" spans="1:43" s="528" customFormat="1" ht="12.75">
      <c r="A46" s="319"/>
      <c r="B46" s="215"/>
      <c r="C46" s="215"/>
      <c r="D46" s="26"/>
      <c r="E46" s="497" t="s">
        <v>410</v>
      </c>
      <c r="F46" s="1019">
        <f>IF(ISBLANK(A_InstallationData!F117),"",A_InstallationData!F117)</f>
      </c>
      <c r="G46" s="1020"/>
      <c r="H46" s="1020"/>
      <c r="I46" s="1020"/>
      <c r="J46" s="1020"/>
      <c r="K46" s="1020"/>
      <c r="L46" s="1020"/>
      <c r="M46" s="1020"/>
      <c r="N46" s="728"/>
      <c r="O46" s="215"/>
      <c r="P46" s="215"/>
      <c r="Q46" s="319"/>
      <c r="R46" s="319"/>
      <c r="S46" s="319"/>
      <c r="T46" s="319"/>
      <c r="U46" s="319"/>
      <c r="V46" s="319"/>
      <c r="W46" s="319"/>
      <c r="X46" s="319"/>
      <c r="Y46" s="319"/>
      <c r="Z46" s="319"/>
      <c r="AA46" s="319"/>
      <c r="AB46" s="423"/>
      <c r="AC46" s="423"/>
      <c r="AD46" s="423"/>
      <c r="AE46" s="423"/>
      <c r="AF46" s="423"/>
      <c r="AG46" s="423"/>
      <c r="AH46" s="423"/>
      <c r="AI46" s="423"/>
      <c r="AJ46" s="423"/>
      <c r="AK46" s="423"/>
      <c r="AL46" s="423"/>
      <c r="AM46" s="423"/>
      <c r="AN46" s="423"/>
      <c r="AO46" s="423"/>
      <c r="AP46" s="423"/>
      <c r="AQ46" s="423"/>
    </row>
    <row r="47" spans="1:43" s="528" customFormat="1" ht="12.75">
      <c r="A47" s="319"/>
      <c r="B47" s="215"/>
      <c r="C47" s="215"/>
      <c r="D47" s="193"/>
      <c r="E47" s="497" t="s">
        <v>411</v>
      </c>
      <c r="F47" s="1019">
        <f>IF(ISBLANK(A_InstallationData!F118),"",A_InstallationData!F118)</f>
      </c>
      <c r="G47" s="1020"/>
      <c r="H47" s="1020"/>
      <c r="I47" s="1020"/>
      <c r="J47" s="1020"/>
      <c r="K47" s="1020"/>
      <c r="L47" s="1020"/>
      <c r="M47" s="1020"/>
      <c r="N47" s="728"/>
      <c r="O47" s="215"/>
      <c r="P47" s="215"/>
      <c r="Q47" s="319"/>
      <c r="R47" s="319"/>
      <c r="S47" s="319"/>
      <c r="T47" s="319"/>
      <c r="U47" s="319"/>
      <c r="V47" s="319"/>
      <c r="W47" s="319"/>
      <c r="X47" s="319"/>
      <c r="Y47" s="319"/>
      <c r="Z47" s="319"/>
      <c r="AA47" s="319"/>
      <c r="AB47" s="423"/>
      <c r="AC47" s="423"/>
      <c r="AD47" s="423"/>
      <c r="AE47" s="423"/>
      <c r="AF47" s="423"/>
      <c r="AG47" s="423"/>
      <c r="AH47" s="423"/>
      <c r="AI47" s="423"/>
      <c r="AJ47" s="423"/>
      <c r="AK47" s="423"/>
      <c r="AL47" s="423"/>
      <c r="AM47" s="423"/>
      <c r="AN47" s="423"/>
      <c r="AO47" s="423"/>
      <c r="AP47" s="423"/>
      <c r="AQ47" s="423"/>
    </row>
    <row r="48" spans="1:43" s="528" customFormat="1" ht="12.75">
      <c r="A48" s="319"/>
      <c r="B48" s="215"/>
      <c r="C48" s="215"/>
      <c r="D48" s="214"/>
      <c r="E48" s="497" t="s">
        <v>412</v>
      </c>
      <c r="F48" s="1019">
        <f>IF(ISBLANK(A_InstallationData!F119),"",A_InstallationData!F119)</f>
      </c>
      <c r="G48" s="1020"/>
      <c r="H48" s="1020"/>
      <c r="I48" s="1020"/>
      <c r="J48" s="1020"/>
      <c r="K48" s="1020"/>
      <c r="L48" s="1020"/>
      <c r="M48" s="1020"/>
      <c r="N48" s="728"/>
      <c r="O48" s="215"/>
      <c r="P48" s="215"/>
      <c r="Q48" s="319"/>
      <c r="R48" s="319"/>
      <c r="S48" s="319"/>
      <c r="T48" s="319"/>
      <c r="U48" s="319"/>
      <c r="V48" s="319"/>
      <c r="W48" s="319"/>
      <c r="X48" s="319"/>
      <c r="Y48" s="319"/>
      <c r="Z48" s="319"/>
      <c r="AA48" s="319"/>
      <c r="AB48" s="423"/>
      <c r="AC48" s="423"/>
      <c r="AD48" s="423"/>
      <c r="AE48" s="423"/>
      <c r="AF48" s="423"/>
      <c r="AG48" s="423"/>
      <c r="AH48" s="423"/>
      <c r="AI48" s="423"/>
      <c r="AJ48" s="423"/>
      <c r="AK48" s="423"/>
      <c r="AL48" s="423"/>
      <c r="AM48" s="423"/>
      <c r="AN48" s="423"/>
      <c r="AO48" s="423"/>
      <c r="AP48" s="423"/>
      <c r="AQ48" s="423"/>
    </row>
    <row r="49" spans="1:43" s="528" customFormat="1" ht="12.75">
      <c r="A49" s="319"/>
      <c r="B49" s="215"/>
      <c r="C49" s="215"/>
      <c r="D49" s="214"/>
      <c r="E49" s="497" t="s">
        <v>413</v>
      </c>
      <c r="F49" s="1019">
        <f>IF(ISBLANK(A_InstallationData!F120),"",A_InstallationData!F120)</f>
      </c>
      <c r="G49" s="1020"/>
      <c r="H49" s="1020"/>
      <c r="I49" s="1020"/>
      <c r="J49" s="1020"/>
      <c r="K49" s="1020"/>
      <c r="L49" s="1020"/>
      <c r="M49" s="1020"/>
      <c r="N49" s="728"/>
      <c r="O49" s="215"/>
      <c r="P49" s="215"/>
      <c r="Q49" s="319"/>
      <c r="R49" s="319"/>
      <c r="S49" s="319"/>
      <c r="T49" s="319"/>
      <c r="U49" s="319"/>
      <c r="V49" s="319"/>
      <c r="W49" s="319"/>
      <c r="X49" s="319"/>
      <c r="Y49" s="319"/>
      <c r="Z49" s="319"/>
      <c r="AA49" s="319"/>
      <c r="AB49" s="423"/>
      <c r="AC49" s="423"/>
      <c r="AD49" s="423"/>
      <c r="AE49" s="423"/>
      <c r="AF49" s="423"/>
      <c r="AG49" s="423"/>
      <c r="AH49" s="423"/>
      <c r="AI49" s="423"/>
      <c r="AJ49" s="423"/>
      <c r="AK49" s="423"/>
      <c r="AL49" s="423"/>
      <c r="AM49" s="423"/>
      <c r="AN49" s="423"/>
      <c r="AO49" s="423"/>
      <c r="AP49" s="423"/>
      <c r="AQ49" s="423"/>
    </row>
    <row r="50" spans="1:43" s="528" customFormat="1" ht="12.75">
      <c r="A50" s="319"/>
      <c r="B50" s="215"/>
      <c r="C50" s="215"/>
      <c r="D50" s="214"/>
      <c r="E50" s="497" t="s">
        <v>414</v>
      </c>
      <c r="F50" s="1019">
        <f>IF(ISBLANK(A_InstallationData!F121),"",A_InstallationData!F121)</f>
      </c>
      <c r="G50" s="1020"/>
      <c r="H50" s="1020"/>
      <c r="I50" s="1020"/>
      <c r="J50" s="1020"/>
      <c r="K50" s="1020"/>
      <c r="L50" s="1020"/>
      <c r="M50" s="1020"/>
      <c r="N50" s="728"/>
      <c r="O50" s="215"/>
      <c r="P50" s="26"/>
      <c r="Q50" s="319"/>
      <c r="R50" s="319"/>
      <c r="S50" s="319"/>
      <c r="T50" s="319"/>
      <c r="U50" s="319"/>
      <c r="V50" s="319"/>
      <c r="W50" s="319"/>
      <c r="X50" s="319"/>
      <c r="Y50" s="319"/>
      <c r="Z50" s="319"/>
      <c r="AA50" s="319"/>
      <c r="AB50" s="423"/>
      <c r="AC50" s="423"/>
      <c r="AD50" s="423"/>
      <c r="AE50" s="423"/>
      <c r="AF50" s="423"/>
      <c r="AG50" s="423"/>
      <c r="AH50" s="423"/>
      <c r="AI50" s="423"/>
      <c r="AJ50" s="423"/>
      <c r="AK50" s="423"/>
      <c r="AL50" s="423"/>
      <c r="AM50" s="423"/>
      <c r="AN50" s="423"/>
      <c r="AO50" s="423"/>
      <c r="AP50" s="423"/>
      <c r="AQ50" s="423"/>
    </row>
    <row r="51" spans="1:43" s="528" customFormat="1" ht="12.75">
      <c r="A51" s="319"/>
      <c r="B51" s="215"/>
      <c r="C51" s="215"/>
      <c r="D51" s="215"/>
      <c r="E51" s="215"/>
      <c r="F51" s="215"/>
      <c r="G51" s="215"/>
      <c r="H51" s="215"/>
      <c r="I51" s="215"/>
      <c r="J51" s="215"/>
      <c r="K51" s="215"/>
      <c r="L51" s="215"/>
      <c r="M51" s="215"/>
      <c r="N51" s="215"/>
      <c r="O51" s="215"/>
      <c r="P51" s="215"/>
      <c r="Q51" s="319"/>
      <c r="R51" s="319"/>
      <c r="S51" s="319"/>
      <c r="T51" s="319"/>
      <c r="U51" s="319"/>
      <c r="V51" s="319"/>
      <c r="W51" s="319"/>
      <c r="X51" s="319"/>
      <c r="Y51" s="319"/>
      <c r="Z51" s="319"/>
      <c r="AA51" s="319"/>
      <c r="AB51" s="423"/>
      <c r="AC51" s="423"/>
      <c r="AD51" s="423"/>
      <c r="AE51" s="423"/>
      <c r="AF51" s="423"/>
      <c r="AG51" s="423"/>
      <c r="AH51" s="423"/>
      <c r="AI51" s="423"/>
      <c r="AJ51" s="423"/>
      <c r="AK51" s="423"/>
      <c r="AL51" s="423"/>
      <c r="AM51" s="423"/>
      <c r="AN51" s="423"/>
      <c r="AO51" s="423"/>
      <c r="AP51" s="423"/>
      <c r="AQ51" s="423"/>
    </row>
    <row r="52" spans="1:43" s="528" customFormat="1" ht="15">
      <c r="A52" s="319"/>
      <c r="B52" s="215"/>
      <c r="C52" s="16">
        <v>3</v>
      </c>
      <c r="D52" s="817" t="str">
        <f>Translations!$B$1361</f>
        <v>Connexions techniques (rubrique A.VI):</v>
      </c>
      <c r="E52" s="742"/>
      <c r="F52" s="742"/>
      <c r="G52" s="742"/>
      <c r="H52" s="742"/>
      <c r="I52" s="742"/>
      <c r="J52" s="742"/>
      <c r="K52" s="742"/>
      <c r="L52" s="742"/>
      <c r="M52" s="742"/>
      <c r="N52" s="742"/>
      <c r="O52" s="215"/>
      <c r="P52" s="215"/>
      <c r="Q52" s="319"/>
      <c r="R52" s="319"/>
      <c r="S52" s="319"/>
      <c r="T52" s="319"/>
      <c r="U52" s="319"/>
      <c r="V52" s="319"/>
      <c r="W52" s="319"/>
      <c r="X52" s="319"/>
      <c r="Y52" s="319"/>
      <c r="Z52" s="319"/>
      <c r="AA52" s="319"/>
      <c r="AB52" s="423"/>
      <c r="AC52" s="423"/>
      <c r="AD52" s="423"/>
      <c r="AE52" s="423"/>
      <c r="AF52" s="423"/>
      <c r="AG52" s="423"/>
      <c r="AH52" s="423"/>
      <c r="AI52" s="423"/>
      <c r="AJ52" s="423"/>
      <c r="AK52" s="423"/>
      <c r="AL52" s="423"/>
      <c r="AM52" s="423"/>
      <c r="AN52" s="423"/>
      <c r="AO52" s="423"/>
      <c r="AP52" s="423"/>
      <c r="AQ52" s="423"/>
    </row>
    <row r="53" spans="1:43" s="528" customFormat="1" ht="12.75">
      <c r="A53" s="319"/>
      <c r="B53" s="215"/>
      <c r="C53" s="215"/>
      <c r="D53" s="215"/>
      <c r="E53" s="1016" t="str">
        <f>Translations!$B$958</f>
        <v>Dénomination de la connexion</v>
      </c>
      <c r="F53" s="1017"/>
      <c r="G53" s="1017"/>
      <c r="H53" s="1018"/>
      <c r="I53" s="1016" t="str">
        <f>Translations!$B$959</f>
        <v>Code d'identification utilisé dans le CITL, le cas échéant</v>
      </c>
      <c r="J53" s="1017"/>
      <c r="K53" s="1018"/>
      <c r="L53" s="1016" t="str">
        <f>Translations!$B$960</f>
        <v>Type d'entité</v>
      </c>
      <c r="M53" s="1017"/>
      <c r="N53" s="1017"/>
      <c r="O53" s="215"/>
      <c r="P53" s="215"/>
      <c r="Q53" s="319"/>
      <c r="R53" s="319"/>
      <c r="S53" s="319"/>
      <c r="T53" s="319"/>
      <c r="U53" s="319"/>
      <c r="V53" s="319"/>
      <c r="W53" s="319"/>
      <c r="X53" s="319"/>
      <c r="Y53" s="319"/>
      <c r="Z53" s="319"/>
      <c r="AA53" s="319"/>
      <c r="AB53" s="423"/>
      <c r="AC53" s="423"/>
      <c r="AD53" s="423"/>
      <c r="AE53" s="423"/>
      <c r="AF53" s="423"/>
      <c r="AG53" s="423"/>
      <c r="AH53" s="423"/>
      <c r="AI53" s="423"/>
      <c r="AJ53" s="423"/>
      <c r="AK53" s="423"/>
      <c r="AL53" s="423"/>
      <c r="AM53" s="423"/>
      <c r="AN53" s="423"/>
      <c r="AO53" s="423"/>
      <c r="AP53" s="423"/>
      <c r="AQ53" s="423"/>
    </row>
    <row r="54" spans="1:43" s="528" customFormat="1" ht="12.75">
      <c r="A54" s="319"/>
      <c r="B54" s="215"/>
      <c r="C54" s="215"/>
      <c r="D54" s="215">
        <v>1</v>
      </c>
      <c r="E54" s="1007">
        <f aca="true" t="shared" si="0" ref="E54:E63">IF(INDEX(CNTR_ConnectionEntityList,$D54)=EUconst_NA,"",INDEX(CNTR_ConnectionEntityList,$D54))</f>
      </c>
      <c r="F54" s="1008"/>
      <c r="G54" s="1008"/>
      <c r="H54" s="1009"/>
      <c r="I54" s="1010">
        <f aca="true" t="shared" si="1" ref="I54:I63">INDEX(CNTR_ConnectionEntityListCITL_IDs,$D54)</f>
      </c>
      <c r="J54" s="1011"/>
      <c r="K54" s="1012"/>
      <c r="L54" s="1007">
        <f aca="true" t="shared" si="2" ref="L54:L63">INDEX(CNTR_ConnectionEntityListTypes,$D54)</f>
      </c>
      <c r="M54" s="1013"/>
      <c r="N54" s="1014"/>
      <c r="O54" s="215"/>
      <c r="P54" s="215"/>
      <c r="Q54" s="319"/>
      <c r="R54" s="319"/>
      <c r="S54" s="319"/>
      <c r="T54" s="319"/>
      <c r="U54" s="319"/>
      <c r="V54" s="319"/>
      <c r="W54" s="319"/>
      <c r="X54" s="319"/>
      <c r="Y54" s="319"/>
      <c r="Z54" s="319"/>
      <c r="AA54" s="319"/>
      <c r="AB54" s="423"/>
      <c r="AC54" s="423"/>
      <c r="AD54" s="423"/>
      <c r="AE54" s="423"/>
      <c r="AF54" s="423"/>
      <c r="AG54" s="423"/>
      <c r="AH54" s="423"/>
      <c r="AI54" s="423"/>
      <c r="AJ54" s="423"/>
      <c r="AK54" s="423"/>
      <c r="AL54" s="423"/>
      <c r="AM54" s="423"/>
      <c r="AN54" s="423"/>
      <c r="AO54" s="423"/>
      <c r="AP54" s="423"/>
      <c r="AQ54" s="423"/>
    </row>
    <row r="55" spans="1:43" s="528" customFormat="1" ht="12.75">
      <c r="A55" s="319"/>
      <c r="B55" s="215"/>
      <c r="C55" s="215"/>
      <c r="D55" s="215">
        <v>2</v>
      </c>
      <c r="E55" s="1007">
        <f t="shared" si="0"/>
      </c>
      <c r="F55" s="1008"/>
      <c r="G55" s="1008"/>
      <c r="H55" s="1009"/>
      <c r="I55" s="1010">
        <f t="shared" si="1"/>
      </c>
      <c r="J55" s="1011"/>
      <c r="K55" s="1012"/>
      <c r="L55" s="1007">
        <f t="shared" si="2"/>
      </c>
      <c r="M55" s="1013"/>
      <c r="N55" s="1014"/>
      <c r="O55" s="215"/>
      <c r="P55" s="215"/>
      <c r="Q55" s="319"/>
      <c r="R55" s="319"/>
      <c r="S55" s="319"/>
      <c r="T55" s="319"/>
      <c r="U55" s="319"/>
      <c r="V55" s="319"/>
      <c r="W55" s="319"/>
      <c r="X55" s="319"/>
      <c r="Y55" s="319"/>
      <c r="Z55" s="319"/>
      <c r="AA55" s="319"/>
      <c r="AB55" s="423"/>
      <c r="AC55" s="423"/>
      <c r="AD55" s="423"/>
      <c r="AE55" s="423"/>
      <c r="AF55" s="423"/>
      <c r="AG55" s="423"/>
      <c r="AH55" s="423"/>
      <c r="AI55" s="423"/>
      <c r="AJ55" s="423"/>
      <c r="AK55" s="423"/>
      <c r="AL55" s="423"/>
      <c r="AM55" s="423"/>
      <c r="AN55" s="423"/>
      <c r="AO55" s="423"/>
      <c r="AP55" s="423"/>
      <c r="AQ55" s="423"/>
    </row>
    <row r="56" spans="1:43" s="528" customFormat="1" ht="12.75">
      <c r="A56" s="319"/>
      <c r="B56" s="215"/>
      <c r="C56" s="215"/>
      <c r="D56" s="215">
        <v>3</v>
      </c>
      <c r="E56" s="1007">
        <f t="shared" si="0"/>
      </c>
      <c r="F56" s="1008"/>
      <c r="G56" s="1008"/>
      <c r="H56" s="1009"/>
      <c r="I56" s="1010">
        <f t="shared" si="1"/>
      </c>
      <c r="J56" s="1011"/>
      <c r="K56" s="1012"/>
      <c r="L56" s="1007">
        <f t="shared" si="2"/>
      </c>
      <c r="M56" s="1013"/>
      <c r="N56" s="1014"/>
      <c r="O56" s="215"/>
      <c r="P56" s="215"/>
      <c r="Q56" s="319"/>
      <c r="R56" s="319"/>
      <c r="S56" s="319"/>
      <c r="T56" s="319"/>
      <c r="U56" s="319"/>
      <c r="V56" s="319"/>
      <c r="W56" s="319"/>
      <c r="X56" s="319"/>
      <c r="Y56" s="319"/>
      <c r="Z56" s="319"/>
      <c r="AA56" s="319"/>
      <c r="AB56" s="423"/>
      <c r="AC56" s="423"/>
      <c r="AD56" s="423"/>
      <c r="AE56" s="423"/>
      <c r="AF56" s="423"/>
      <c r="AG56" s="423"/>
      <c r="AH56" s="423"/>
      <c r="AI56" s="423"/>
      <c r="AJ56" s="423"/>
      <c r="AK56" s="423"/>
      <c r="AL56" s="423"/>
      <c r="AM56" s="423"/>
      <c r="AN56" s="423"/>
      <c r="AO56" s="423"/>
      <c r="AP56" s="423"/>
      <c r="AQ56" s="423"/>
    </row>
    <row r="57" spans="1:43" s="528" customFormat="1" ht="12.75">
      <c r="A57" s="319"/>
      <c r="B57" s="215"/>
      <c r="C57" s="215"/>
      <c r="D57" s="215">
        <v>4</v>
      </c>
      <c r="E57" s="1007">
        <f t="shared" si="0"/>
      </c>
      <c r="F57" s="1008"/>
      <c r="G57" s="1008"/>
      <c r="H57" s="1009"/>
      <c r="I57" s="1010">
        <f t="shared" si="1"/>
      </c>
      <c r="J57" s="1011"/>
      <c r="K57" s="1012"/>
      <c r="L57" s="1007">
        <f t="shared" si="2"/>
      </c>
      <c r="M57" s="1013"/>
      <c r="N57" s="1014"/>
      <c r="O57" s="215"/>
      <c r="P57" s="215"/>
      <c r="Q57" s="319"/>
      <c r="R57" s="319"/>
      <c r="S57" s="319"/>
      <c r="T57" s="319"/>
      <c r="U57" s="319"/>
      <c r="V57" s="319"/>
      <c r="W57" s="319"/>
      <c r="X57" s="319"/>
      <c r="Y57" s="319"/>
      <c r="Z57" s="319"/>
      <c r="AA57" s="319"/>
      <c r="AB57" s="423"/>
      <c r="AC57" s="423"/>
      <c r="AD57" s="423"/>
      <c r="AE57" s="423"/>
      <c r="AF57" s="423"/>
      <c r="AG57" s="423"/>
      <c r="AH57" s="423"/>
      <c r="AI57" s="423"/>
      <c r="AJ57" s="423"/>
      <c r="AK57" s="423"/>
      <c r="AL57" s="423"/>
      <c r="AM57" s="423"/>
      <c r="AN57" s="423"/>
      <c r="AO57" s="423"/>
      <c r="AP57" s="423"/>
      <c r="AQ57" s="423"/>
    </row>
    <row r="58" spans="1:43" s="528" customFormat="1" ht="12.75">
      <c r="A58" s="319"/>
      <c r="B58" s="215"/>
      <c r="C58" s="215"/>
      <c r="D58" s="215">
        <v>5</v>
      </c>
      <c r="E58" s="1007">
        <f t="shared" si="0"/>
      </c>
      <c r="F58" s="1008"/>
      <c r="G58" s="1008"/>
      <c r="H58" s="1009"/>
      <c r="I58" s="1010">
        <f t="shared" si="1"/>
      </c>
      <c r="J58" s="1011"/>
      <c r="K58" s="1012"/>
      <c r="L58" s="1007">
        <f t="shared" si="2"/>
      </c>
      <c r="M58" s="1013"/>
      <c r="N58" s="1014"/>
      <c r="O58" s="215"/>
      <c r="P58" s="215"/>
      <c r="Q58" s="319"/>
      <c r="R58" s="319"/>
      <c r="S58" s="319"/>
      <c r="T58" s="319"/>
      <c r="U58" s="319"/>
      <c r="V58" s="319"/>
      <c r="W58" s="319"/>
      <c r="X58" s="319"/>
      <c r="Y58" s="319"/>
      <c r="Z58" s="319"/>
      <c r="AA58" s="319"/>
      <c r="AB58" s="423"/>
      <c r="AC58" s="423"/>
      <c r="AD58" s="423"/>
      <c r="AE58" s="423"/>
      <c r="AF58" s="423"/>
      <c r="AG58" s="423"/>
      <c r="AH58" s="423"/>
      <c r="AI58" s="423"/>
      <c r="AJ58" s="423"/>
      <c r="AK58" s="423"/>
      <c r="AL58" s="423"/>
      <c r="AM58" s="423"/>
      <c r="AN58" s="423"/>
      <c r="AO58" s="423"/>
      <c r="AP58" s="423"/>
      <c r="AQ58" s="423"/>
    </row>
    <row r="59" spans="1:43" s="528" customFormat="1" ht="12.75">
      <c r="A59" s="319"/>
      <c r="B59" s="215"/>
      <c r="C59" s="215"/>
      <c r="D59" s="215">
        <v>6</v>
      </c>
      <c r="E59" s="1007">
        <f t="shared" si="0"/>
      </c>
      <c r="F59" s="1008"/>
      <c r="G59" s="1008"/>
      <c r="H59" s="1009"/>
      <c r="I59" s="1010">
        <f t="shared" si="1"/>
      </c>
      <c r="J59" s="1011"/>
      <c r="K59" s="1012"/>
      <c r="L59" s="1007">
        <f t="shared" si="2"/>
      </c>
      <c r="M59" s="1013"/>
      <c r="N59" s="1014"/>
      <c r="O59" s="215"/>
      <c r="P59" s="215"/>
      <c r="Q59" s="319"/>
      <c r="R59" s="319"/>
      <c r="S59" s="319"/>
      <c r="T59" s="319"/>
      <c r="U59" s="319"/>
      <c r="V59" s="319"/>
      <c r="W59" s="319"/>
      <c r="X59" s="319"/>
      <c r="Y59" s="319"/>
      <c r="Z59" s="319"/>
      <c r="AA59" s="319"/>
      <c r="AB59" s="423"/>
      <c r="AC59" s="423"/>
      <c r="AD59" s="423"/>
      <c r="AE59" s="423"/>
      <c r="AF59" s="423"/>
      <c r="AG59" s="423"/>
      <c r="AH59" s="423"/>
      <c r="AI59" s="423"/>
      <c r="AJ59" s="423"/>
      <c r="AK59" s="423"/>
      <c r="AL59" s="423"/>
      <c r="AM59" s="423"/>
      <c r="AN59" s="423"/>
      <c r="AO59" s="423"/>
      <c r="AP59" s="423"/>
      <c r="AQ59" s="423"/>
    </row>
    <row r="60" spans="1:43" s="528" customFormat="1" ht="12.75">
      <c r="A60" s="319"/>
      <c r="B60" s="215"/>
      <c r="C60" s="215"/>
      <c r="D60" s="215">
        <v>7</v>
      </c>
      <c r="E60" s="1007">
        <f t="shared" si="0"/>
      </c>
      <c r="F60" s="1008"/>
      <c r="G60" s="1008"/>
      <c r="H60" s="1009"/>
      <c r="I60" s="1010">
        <f t="shared" si="1"/>
      </c>
      <c r="J60" s="1011"/>
      <c r="K60" s="1012"/>
      <c r="L60" s="1007">
        <f t="shared" si="2"/>
      </c>
      <c r="M60" s="1013"/>
      <c r="N60" s="1014"/>
      <c r="O60" s="215"/>
      <c r="P60" s="215"/>
      <c r="Q60" s="319"/>
      <c r="R60" s="319"/>
      <c r="S60" s="319"/>
      <c r="T60" s="319"/>
      <c r="U60" s="319"/>
      <c r="V60" s="319"/>
      <c r="W60" s="319"/>
      <c r="X60" s="319"/>
      <c r="Y60" s="319"/>
      <c r="Z60" s="319"/>
      <c r="AA60" s="319"/>
      <c r="AB60" s="423"/>
      <c r="AC60" s="423"/>
      <c r="AD60" s="423"/>
      <c r="AE60" s="423"/>
      <c r="AF60" s="423"/>
      <c r="AG60" s="423"/>
      <c r="AH60" s="423"/>
      <c r="AI60" s="423"/>
      <c r="AJ60" s="423"/>
      <c r="AK60" s="423"/>
      <c r="AL60" s="423"/>
      <c r="AM60" s="423"/>
      <c r="AN60" s="423"/>
      <c r="AO60" s="423"/>
      <c r="AP60" s="423"/>
      <c r="AQ60" s="423"/>
    </row>
    <row r="61" spans="1:43" s="528" customFormat="1" ht="12.75">
      <c r="A61" s="319"/>
      <c r="B61" s="215"/>
      <c r="C61" s="215"/>
      <c r="D61" s="215">
        <v>8</v>
      </c>
      <c r="E61" s="1007">
        <f t="shared" si="0"/>
      </c>
      <c r="F61" s="1008"/>
      <c r="G61" s="1008"/>
      <c r="H61" s="1009"/>
      <c r="I61" s="1010">
        <f t="shared" si="1"/>
      </c>
      <c r="J61" s="1011"/>
      <c r="K61" s="1012"/>
      <c r="L61" s="1007">
        <f t="shared" si="2"/>
      </c>
      <c r="M61" s="1013"/>
      <c r="N61" s="1014"/>
      <c r="O61" s="215"/>
      <c r="P61" s="215"/>
      <c r="Q61" s="319"/>
      <c r="R61" s="319"/>
      <c r="S61" s="319"/>
      <c r="T61" s="319"/>
      <c r="U61" s="319"/>
      <c r="V61" s="319"/>
      <c r="W61" s="319"/>
      <c r="X61" s="319"/>
      <c r="Y61" s="319"/>
      <c r="Z61" s="319"/>
      <c r="AA61" s="319"/>
      <c r="AB61" s="423"/>
      <c r="AC61" s="423"/>
      <c r="AD61" s="423"/>
      <c r="AE61" s="423"/>
      <c r="AF61" s="423"/>
      <c r="AG61" s="423"/>
      <c r="AH61" s="423"/>
      <c r="AI61" s="423"/>
      <c r="AJ61" s="423"/>
      <c r="AK61" s="423"/>
      <c r="AL61" s="423"/>
      <c r="AM61" s="423"/>
      <c r="AN61" s="423"/>
      <c r="AO61" s="423"/>
      <c r="AP61" s="423"/>
      <c r="AQ61" s="423"/>
    </row>
    <row r="62" spans="1:43" s="528" customFormat="1" ht="12.75">
      <c r="A62" s="319"/>
      <c r="B62" s="215"/>
      <c r="C62" s="215"/>
      <c r="D62" s="215">
        <v>9</v>
      </c>
      <c r="E62" s="1007">
        <f t="shared" si="0"/>
      </c>
      <c r="F62" s="1008"/>
      <c r="G62" s="1008"/>
      <c r="H62" s="1009"/>
      <c r="I62" s="1010">
        <f t="shared" si="1"/>
      </c>
      <c r="J62" s="1011"/>
      <c r="K62" s="1012"/>
      <c r="L62" s="1007">
        <f t="shared" si="2"/>
      </c>
      <c r="M62" s="1013"/>
      <c r="N62" s="1014"/>
      <c r="O62" s="215"/>
      <c r="P62" s="215"/>
      <c r="Q62" s="319"/>
      <c r="R62" s="319"/>
      <c r="S62" s="319"/>
      <c r="T62" s="319"/>
      <c r="U62" s="319"/>
      <c r="V62" s="319"/>
      <c r="W62" s="319"/>
      <c r="X62" s="319"/>
      <c r="Y62" s="319"/>
      <c r="Z62" s="319"/>
      <c r="AA62" s="319"/>
      <c r="AB62" s="423"/>
      <c r="AC62" s="423"/>
      <c r="AD62" s="423"/>
      <c r="AE62" s="423"/>
      <c r="AF62" s="423"/>
      <c r="AG62" s="423"/>
      <c r="AH62" s="423"/>
      <c r="AI62" s="423"/>
      <c r="AJ62" s="423"/>
      <c r="AK62" s="423"/>
      <c r="AL62" s="423"/>
      <c r="AM62" s="423"/>
      <c r="AN62" s="423"/>
      <c r="AO62" s="423"/>
      <c r="AP62" s="423"/>
      <c r="AQ62" s="423"/>
    </row>
    <row r="63" spans="1:43" s="528" customFormat="1" ht="12.75">
      <c r="A63" s="319"/>
      <c r="B63" s="215"/>
      <c r="C63" s="215"/>
      <c r="D63" s="215">
        <v>10</v>
      </c>
      <c r="E63" s="1007">
        <f t="shared" si="0"/>
      </c>
      <c r="F63" s="1008"/>
      <c r="G63" s="1008"/>
      <c r="H63" s="1009"/>
      <c r="I63" s="1010">
        <f t="shared" si="1"/>
      </c>
      <c r="J63" s="1011"/>
      <c r="K63" s="1012"/>
      <c r="L63" s="1007">
        <f t="shared" si="2"/>
      </c>
      <c r="M63" s="1013"/>
      <c r="N63" s="1014"/>
      <c r="O63" s="215"/>
      <c r="P63" s="215"/>
      <c r="Q63" s="319"/>
      <c r="R63" s="319"/>
      <c r="S63" s="319"/>
      <c r="T63" s="319"/>
      <c r="U63" s="319"/>
      <c r="V63" s="319"/>
      <c r="W63" s="319"/>
      <c r="X63" s="319"/>
      <c r="Y63" s="319"/>
      <c r="Z63" s="319"/>
      <c r="AA63" s="319"/>
      <c r="AB63" s="423"/>
      <c r="AC63" s="423"/>
      <c r="AD63" s="423"/>
      <c r="AE63" s="423"/>
      <c r="AF63" s="423"/>
      <c r="AG63" s="423"/>
      <c r="AH63" s="423"/>
      <c r="AI63" s="423"/>
      <c r="AJ63" s="423"/>
      <c r="AK63" s="423"/>
      <c r="AL63" s="423"/>
      <c r="AM63" s="423"/>
      <c r="AN63" s="423"/>
      <c r="AO63" s="423"/>
      <c r="AP63" s="423"/>
      <c r="AQ63" s="423"/>
    </row>
    <row r="64" spans="1:43" s="528" customFormat="1" ht="25.5" customHeight="1">
      <c r="A64" s="319"/>
      <c r="B64" s="215"/>
      <c r="C64" s="215"/>
      <c r="D64" s="215"/>
      <c r="E64" s="215"/>
      <c r="F64" s="215"/>
      <c r="G64" s="215"/>
      <c r="H64" s="215"/>
      <c r="I64" s="215"/>
      <c r="J64" s="215"/>
      <c r="K64" s="215"/>
      <c r="L64" s="215"/>
      <c r="M64" s="215"/>
      <c r="N64" s="215"/>
      <c r="O64" s="215"/>
      <c r="P64" s="215"/>
      <c r="Q64" s="319"/>
      <c r="R64" s="319"/>
      <c r="S64" s="319"/>
      <c r="T64" s="319"/>
      <c r="U64" s="319"/>
      <c r="V64" s="319"/>
      <c r="W64" s="319"/>
      <c r="X64" s="319"/>
      <c r="Y64" s="319"/>
      <c r="Z64" s="319"/>
      <c r="AA64" s="319"/>
      <c r="AB64" s="423"/>
      <c r="AC64" s="423"/>
      <c r="AD64" s="423"/>
      <c r="AE64" s="423"/>
      <c r="AF64" s="423"/>
      <c r="AG64" s="423"/>
      <c r="AH64" s="423"/>
      <c r="AI64" s="423"/>
      <c r="AJ64" s="423"/>
      <c r="AK64" s="423"/>
      <c r="AL64" s="423"/>
      <c r="AM64" s="423"/>
      <c r="AN64" s="423"/>
      <c r="AO64" s="423"/>
      <c r="AP64" s="423"/>
      <c r="AQ64" s="423"/>
    </row>
    <row r="65" spans="1:43" s="525" customFormat="1" ht="18" customHeight="1">
      <c r="A65" s="207"/>
      <c r="B65" s="208"/>
      <c r="C65" s="316" t="s">
        <v>128</v>
      </c>
      <c r="D65" s="1021" t="str">
        <f>Translations!$B$1570</f>
        <v>Nouvelle allocation</v>
      </c>
      <c r="E65" s="1021"/>
      <c r="F65" s="1021"/>
      <c r="G65" s="1021"/>
      <c r="H65" s="1021"/>
      <c r="I65" s="1021"/>
      <c r="J65" s="1021"/>
      <c r="K65" s="1021"/>
      <c r="L65" s="1021"/>
      <c r="M65" s="1021"/>
      <c r="N65" s="1021"/>
      <c r="O65" s="209"/>
      <c r="P65" s="209"/>
      <c r="Q65" s="493"/>
      <c r="R65" s="445"/>
      <c r="S65" s="445"/>
      <c r="T65" s="445"/>
      <c r="U65" s="445"/>
      <c r="V65" s="445"/>
      <c r="W65" s="445"/>
      <c r="X65" s="445"/>
      <c r="Y65" s="445"/>
      <c r="Z65" s="445"/>
      <c r="AA65" s="445"/>
      <c r="AB65" s="423"/>
      <c r="AC65" s="423"/>
      <c r="AD65" s="423"/>
      <c r="AE65" s="423"/>
      <c r="AF65" s="423"/>
      <c r="AG65" s="423"/>
      <c r="AH65" s="423"/>
      <c r="AI65" s="423"/>
      <c r="AJ65" s="423"/>
      <c r="AK65" s="423"/>
      <c r="AL65" s="423"/>
      <c r="AM65" s="423"/>
      <c r="AN65" s="423"/>
      <c r="AO65" s="423"/>
      <c r="AP65" s="423"/>
      <c r="AQ65" s="423"/>
    </row>
    <row r="66" spans="1:43" s="522" customFormat="1" ht="12.75" customHeight="1">
      <c r="A66" s="4"/>
      <c r="B66" s="5"/>
      <c r="C66" s="5"/>
      <c r="D66" s="5"/>
      <c r="E66" s="5"/>
      <c r="F66" s="5"/>
      <c r="G66" s="5"/>
      <c r="H66" s="5"/>
      <c r="I66" s="5"/>
      <c r="J66" s="5"/>
      <c r="K66" s="5"/>
      <c r="L66" s="5"/>
      <c r="M66" s="9"/>
      <c r="N66" s="9"/>
      <c r="O66" s="9"/>
      <c r="P66" s="9"/>
      <c r="Q66" s="441"/>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row>
    <row r="67" spans="1:43" s="522" customFormat="1" ht="25.5" customHeight="1">
      <c r="A67" s="4"/>
      <c r="B67" s="5"/>
      <c r="C67" s="5"/>
      <c r="D67" s="796" t="str">
        <f>Translations!B1590</f>
        <v>Le document d'orientation n° 10 intitulé «Allocation pour les fusions et scissions» dispose en son chapitre 1 qu'une fusion ou une scission n'entraîne pas l'allocation de plus de quotas que ce qui est indiqué dans le tableau national d’allocation (NAT) avant la fusion ou la scission.</v>
      </c>
      <c r="E67" s="796"/>
      <c r="F67" s="796"/>
      <c r="G67" s="796"/>
      <c r="H67" s="796"/>
      <c r="I67" s="796"/>
      <c r="J67" s="796"/>
      <c r="K67" s="796"/>
      <c r="L67" s="796"/>
      <c r="M67" s="796"/>
      <c r="N67" s="796"/>
      <c r="O67" s="9"/>
      <c r="P67" s="9"/>
      <c r="Q67" s="441"/>
      <c r="R67" s="423"/>
      <c r="S67" s="423"/>
      <c r="T67" s="423"/>
      <c r="U67" s="423"/>
      <c r="V67" s="423"/>
      <c r="W67" s="423"/>
      <c r="X67" s="423"/>
      <c r="Y67" s="425">
        <v>2013</v>
      </c>
      <c r="Z67" s="425">
        <v>2014</v>
      </c>
      <c r="AA67" s="425">
        <v>2015</v>
      </c>
      <c r="AB67" s="425">
        <v>2016</v>
      </c>
      <c r="AC67" s="425">
        <v>2017</v>
      </c>
      <c r="AD67" s="425">
        <v>2018</v>
      </c>
      <c r="AE67" s="425">
        <v>2019</v>
      </c>
      <c r="AF67" s="425">
        <v>2020</v>
      </c>
      <c r="AG67" s="423"/>
      <c r="AH67" s="423"/>
      <c r="AI67" s="423"/>
      <c r="AJ67" s="423"/>
      <c r="AK67" s="423"/>
      <c r="AL67" s="423"/>
      <c r="AM67" s="423"/>
      <c r="AN67" s="423"/>
      <c r="AO67" s="423"/>
      <c r="AP67" s="423"/>
      <c r="AQ67" s="423"/>
    </row>
    <row r="68" spans="1:43" s="522" customFormat="1" ht="25.5" customHeight="1">
      <c r="A68" s="4"/>
      <c r="B68" s="5"/>
      <c r="C68" s="5"/>
      <c r="D68" s="796" t="str">
        <f>Translations!B1591</f>
        <v>En raison de l'application de la règle de l’arrondi et en fonction des parts indiquées sur la feuille C, il est possible que la somme des allocations calculées dans les sections III. 1 et III. 2 ci-après dépasse l’allocation avant la fusion ou la scission. En pareil cas, un message d’erreur s’affichera dans l'encadré ci-dessous.</v>
      </c>
      <c r="E68" s="796"/>
      <c r="F68" s="796"/>
      <c r="G68" s="796"/>
      <c r="H68" s="796"/>
      <c r="I68" s="796"/>
      <c r="J68" s="796"/>
      <c r="K68" s="796"/>
      <c r="L68" s="796"/>
      <c r="M68" s="796"/>
      <c r="N68" s="796"/>
      <c r="O68" s="9"/>
      <c r="P68" s="9"/>
      <c r="Q68" s="441"/>
      <c r="R68" s="423"/>
      <c r="S68" s="423"/>
      <c r="T68" s="423"/>
      <c r="U68" s="423"/>
      <c r="V68" s="423"/>
      <c r="W68" s="423"/>
      <c r="X68" s="423"/>
      <c r="Y68" s="580">
        <f aca="true" t="shared" si="3" ref="Y68:AF68">IF(Y67&lt;=CNTR_YearMergerSplit,"",SUM(G$94,G$140))</f>
        <v>0</v>
      </c>
      <c r="Z68" s="580">
        <f t="shared" si="3"/>
        <v>0</v>
      </c>
      <c r="AA68" s="580">
        <f t="shared" si="3"/>
        <v>0</v>
      </c>
      <c r="AB68" s="580">
        <f t="shared" si="3"/>
        <v>0</v>
      </c>
      <c r="AC68" s="580">
        <f t="shared" si="3"/>
        <v>0</v>
      </c>
      <c r="AD68" s="580">
        <f t="shared" si="3"/>
        <v>0</v>
      </c>
      <c r="AE68" s="580">
        <f t="shared" si="3"/>
        <v>0</v>
      </c>
      <c r="AF68" s="580">
        <f t="shared" si="3"/>
        <v>0</v>
      </c>
      <c r="AG68" s="423"/>
      <c r="AH68" s="423"/>
      <c r="AI68" s="423"/>
      <c r="AJ68" s="423"/>
      <c r="AK68" s="423"/>
      <c r="AL68" s="423"/>
      <c r="AM68" s="423"/>
      <c r="AN68" s="423"/>
      <c r="AO68" s="423"/>
      <c r="AP68" s="423"/>
      <c r="AQ68" s="423"/>
    </row>
    <row r="69" spans="1:43" s="522" customFormat="1" ht="12.75" customHeight="1">
      <c r="A69" s="4"/>
      <c r="B69" s="5"/>
      <c r="C69" s="5"/>
      <c r="D69" s="792" t="str">
        <f>Translations!B1592</f>
        <v>Si un message d’erreur s'affiche ci-dessous, veuillez changer les parts indiquées sur la feuille C pour éviter l’erreur due à l’arrondi.</v>
      </c>
      <c r="E69" s="792"/>
      <c r="F69" s="792"/>
      <c r="G69" s="792"/>
      <c r="H69" s="792"/>
      <c r="I69" s="792"/>
      <c r="J69" s="792"/>
      <c r="K69" s="792"/>
      <c r="L69" s="792"/>
      <c r="M69" s="792"/>
      <c r="N69" s="792"/>
      <c r="O69" s="9"/>
      <c r="P69" s="9"/>
      <c r="Q69" s="441"/>
      <c r="R69" s="423"/>
      <c r="S69" s="423"/>
      <c r="T69" s="423"/>
      <c r="U69" s="423"/>
      <c r="V69" s="423"/>
      <c r="W69" s="450" t="s">
        <v>565</v>
      </c>
      <c r="X69" s="423"/>
      <c r="Y69" s="580">
        <f>SUM(B_InitialSituation!G$35,B_InitialSituation!G$107)</f>
        <v>0</v>
      </c>
      <c r="Z69" s="580">
        <f>SUM(B_InitialSituation!H$35,B_InitialSituation!H$107)</f>
        <v>0</v>
      </c>
      <c r="AA69" s="580">
        <f>SUM(B_InitialSituation!I$35,B_InitialSituation!I$107)</f>
        <v>0</v>
      </c>
      <c r="AB69" s="580">
        <f>SUM(B_InitialSituation!J$35,B_InitialSituation!J$107)</f>
        <v>0</v>
      </c>
      <c r="AC69" s="580">
        <f>SUM(B_InitialSituation!K$35,B_InitialSituation!K$107)</f>
        <v>0</v>
      </c>
      <c r="AD69" s="580">
        <f>SUM(B_InitialSituation!L$35,B_InitialSituation!L$107)</f>
        <v>0</v>
      </c>
      <c r="AE69" s="580">
        <f>SUM(B_InitialSituation!M$35,B_InitialSituation!M$107)</f>
        <v>0</v>
      </c>
      <c r="AF69" s="580">
        <f>SUM(B_InitialSituation!N$35,B_InitialSituation!N$107)</f>
        <v>0</v>
      </c>
      <c r="AG69" s="423"/>
      <c r="AH69" s="423"/>
      <c r="AI69" s="423"/>
      <c r="AJ69" s="423"/>
      <c r="AK69" s="423"/>
      <c r="AL69" s="423"/>
      <c r="AM69" s="423"/>
      <c r="AN69" s="423"/>
      <c r="AO69" s="423"/>
      <c r="AP69" s="423"/>
      <c r="AQ69" s="423"/>
    </row>
    <row r="70" spans="1:43" s="522" customFormat="1" ht="12.75" customHeight="1">
      <c r="A70" s="4"/>
      <c r="B70" s="5"/>
      <c r="C70" s="5"/>
      <c r="D70" s="1065">
        <f>IF(W70,EUconst_ERR_Rounding,"")</f>
      </c>
      <c r="E70" s="1065"/>
      <c r="F70" s="1065"/>
      <c r="G70" s="1065"/>
      <c r="H70" s="1065"/>
      <c r="I70" s="1065"/>
      <c r="J70" s="1065"/>
      <c r="K70" s="1065"/>
      <c r="L70" s="1065"/>
      <c r="M70" s="1065"/>
      <c r="N70" s="1065"/>
      <c r="O70" s="9"/>
      <c r="P70" s="9"/>
      <c r="Q70" s="441"/>
      <c r="R70" s="423"/>
      <c r="S70" s="423"/>
      <c r="T70" s="423"/>
      <c r="U70" s="423"/>
      <c r="V70" s="423"/>
      <c r="W70" s="448" t="b">
        <f>OR(Y70:AF70)</f>
        <v>0</v>
      </c>
      <c r="X70" s="581" t="s">
        <v>566</v>
      </c>
      <c r="Y70" s="674" t="b">
        <f>IF(Y68="","",(ROUND(Y68,0)-ROUND(Y69,0))&gt;0)</f>
        <v>0</v>
      </c>
      <c r="Z70" s="674" t="b">
        <f aca="true" t="shared" si="4" ref="Z70:AF70">IF(Z68="","",(ROUND(Z68,0)-ROUND(Z69,0))&gt;0)</f>
        <v>0</v>
      </c>
      <c r="AA70" s="674" t="b">
        <f t="shared" si="4"/>
        <v>0</v>
      </c>
      <c r="AB70" s="674" t="b">
        <f t="shared" si="4"/>
        <v>0</v>
      </c>
      <c r="AC70" s="674" t="b">
        <f t="shared" si="4"/>
        <v>0</v>
      </c>
      <c r="AD70" s="674" t="b">
        <f t="shared" si="4"/>
        <v>0</v>
      </c>
      <c r="AE70" s="674" t="b">
        <f t="shared" si="4"/>
        <v>0</v>
      </c>
      <c r="AF70" s="674" t="b">
        <f t="shared" si="4"/>
        <v>0</v>
      </c>
      <c r="AG70" s="423"/>
      <c r="AH70" s="423"/>
      <c r="AI70" s="423"/>
      <c r="AJ70" s="423"/>
      <c r="AK70" s="423"/>
      <c r="AL70" s="423"/>
      <c r="AM70" s="423"/>
      <c r="AN70" s="423"/>
      <c r="AO70" s="423"/>
      <c r="AP70" s="423"/>
      <c r="AQ70" s="423"/>
    </row>
    <row r="71" spans="1:43" s="522" customFormat="1" ht="12.75" customHeight="1" thickBot="1">
      <c r="A71" s="4"/>
      <c r="B71" s="5"/>
      <c r="C71" s="5"/>
      <c r="D71" s="244"/>
      <c r="E71" s="244"/>
      <c r="F71" s="244"/>
      <c r="G71" s="244"/>
      <c r="H71" s="244"/>
      <c r="I71" s="244"/>
      <c r="J71" s="244"/>
      <c r="K71" s="244"/>
      <c r="L71" s="244"/>
      <c r="M71" s="244"/>
      <c r="N71" s="244"/>
      <c r="O71" s="9"/>
      <c r="P71" s="9"/>
      <c r="Q71" s="441"/>
      <c r="R71" s="423"/>
      <c r="S71" s="423"/>
      <c r="T71" s="423"/>
      <c r="U71" s="423"/>
      <c r="V71" s="423"/>
      <c r="W71" s="423"/>
      <c r="X71" s="423"/>
      <c r="Y71" s="423"/>
      <c r="Z71" s="423"/>
      <c r="AA71" s="423"/>
      <c r="AB71" s="423"/>
      <c r="AC71" s="423"/>
      <c r="AD71" s="423"/>
      <c r="AE71" s="423"/>
      <c r="AF71" s="423"/>
      <c r="AG71" s="423"/>
      <c r="AH71" s="423"/>
      <c r="AI71" s="423"/>
      <c r="AJ71" s="423"/>
      <c r="AK71" s="423"/>
      <c r="AL71" s="423"/>
      <c r="AM71" s="423"/>
      <c r="AN71" s="423"/>
      <c r="AO71" s="423"/>
      <c r="AP71" s="423"/>
      <c r="AQ71" s="423"/>
    </row>
    <row r="72" spans="1:43" s="525" customFormat="1" ht="15" customHeight="1" thickBot="1">
      <c r="A72" s="207"/>
      <c r="B72" s="208"/>
      <c r="C72" s="337">
        <v>1</v>
      </c>
      <c r="D72" s="972" t="str">
        <f>Translations!$B$1006</f>
        <v>Quantité finale prévue de quotas d'émission alloués à titre gratuit, donnée à titre indicatif:</v>
      </c>
      <c r="E72" s="972"/>
      <c r="F72" s="972"/>
      <c r="G72" s="972"/>
      <c r="H72" s="972"/>
      <c r="I72" s="972"/>
      <c r="J72" s="972"/>
      <c r="K72" s="973"/>
      <c r="L72" s="974">
        <f>CHOOSE(C72,$J$20,$J$24)</f>
      </c>
      <c r="M72" s="975"/>
      <c r="N72" s="976"/>
      <c r="O72" s="209"/>
      <c r="P72" s="209"/>
      <c r="Q72" s="493"/>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45"/>
      <c r="AO72" s="445"/>
      <c r="AP72" s="445"/>
      <c r="AQ72" s="445"/>
    </row>
    <row r="73" spans="1:43" s="522" customFormat="1" ht="12.75" customHeight="1">
      <c r="A73" s="4"/>
      <c r="B73" s="5"/>
      <c r="C73" s="5"/>
      <c r="D73" s="796" t="str">
        <f>Translations!$B$1583</f>
        <v>Les quantités indiquées ici résultent du calcul de la quantité totale finale de quotas alloués à titre gratuit à l’installation pour laquelle la présente demande est soumise.</v>
      </c>
      <c r="E73" s="796"/>
      <c r="F73" s="796"/>
      <c r="G73" s="796"/>
      <c r="H73" s="796"/>
      <c r="I73" s="796"/>
      <c r="J73" s="796"/>
      <c r="K73" s="796"/>
      <c r="L73" s="796"/>
      <c r="M73" s="796"/>
      <c r="N73" s="796"/>
      <c r="O73" s="9"/>
      <c r="P73" s="9"/>
      <c r="Q73" s="441"/>
      <c r="R73" s="423"/>
      <c r="S73" s="423"/>
      <c r="T73" s="423"/>
      <c r="U73" s="423"/>
      <c r="V73" s="423"/>
      <c r="W73" s="423"/>
      <c r="X73" s="423"/>
      <c r="Y73" s="423"/>
      <c r="Z73" s="423"/>
      <c r="AA73" s="423"/>
      <c r="AB73" s="423"/>
      <c r="AC73" s="423"/>
      <c r="AD73" s="423"/>
      <c r="AE73" s="423"/>
      <c r="AF73" s="423"/>
      <c r="AG73" s="423"/>
      <c r="AH73" s="423"/>
      <c r="AI73" s="423"/>
      <c r="AJ73" s="423"/>
      <c r="AK73" s="423"/>
      <c r="AL73" s="423"/>
      <c r="AM73" s="423"/>
      <c r="AN73" s="423"/>
      <c r="AO73" s="423"/>
      <c r="AP73" s="423"/>
      <c r="AQ73" s="423"/>
    </row>
    <row r="74" spans="1:43" s="522" customFormat="1" ht="4.5" customHeight="1">
      <c r="A74" s="4"/>
      <c r="B74" s="5"/>
      <c r="C74" s="5"/>
      <c r="D74" s="5"/>
      <c r="E74" s="5"/>
      <c r="F74" s="5"/>
      <c r="G74" s="5"/>
      <c r="H74" s="5"/>
      <c r="I74" s="5"/>
      <c r="J74" s="5"/>
      <c r="K74" s="5"/>
      <c r="L74" s="5"/>
      <c r="M74" s="9"/>
      <c r="N74" s="9"/>
      <c r="O74" s="9"/>
      <c r="P74" s="9"/>
      <c r="Q74" s="441"/>
      <c r="R74" s="423"/>
      <c r="S74" s="423"/>
      <c r="T74" s="423"/>
      <c r="U74" s="423"/>
      <c r="V74" s="423"/>
      <c r="W74" s="423"/>
      <c r="X74" s="423"/>
      <c r="Y74" s="423"/>
      <c r="Z74" s="423"/>
      <c r="AA74" s="423"/>
      <c r="AB74" s="423"/>
      <c r="AC74" s="423"/>
      <c r="AD74" s="423"/>
      <c r="AE74" s="423"/>
      <c r="AF74" s="423"/>
      <c r="AG74" s="423"/>
      <c r="AH74" s="423"/>
      <c r="AI74" s="423"/>
      <c r="AJ74" s="423"/>
      <c r="AK74" s="423"/>
      <c r="AL74" s="423"/>
      <c r="AM74" s="423"/>
      <c r="AN74" s="423"/>
      <c r="AO74" s="423"/>
      <c r="AP74" s="423"/>
      <c r="AQ74" s="423"/>
    </row>
    <row r="75" spans="1:43" s="522" customFormat="1" ht="12.75" customHeight="1" thickBot="1">
      <c r="A75" s="4"/>
      <c r="B75" s="5"/>
      <c r="C75" s="20"/>
      <c r="D75" s="857" t="str">
        <f>Translations!$B$440</f>
        <v>Sous-installation</v>
      </c>
      <c r="E75" s="896"/>
      <c r="F75" s="968"/>
      <c r="G75" s="211">
        <v>2013</v>
      </c>
      <c r="H75" s="211">
        <v>2014</v>
      </c>
      <c r="I75" s="211">
        <v>2015</v>
      </c>
      <c r="J75" s="211">
        <v>2016</v>
      </c>
      <c r="K75" s="211">
        <v>2017</v>
      </c>
      <c r="L75" s="211">
        <v>2018</v>
      </c>
      <c r="M75" s="211">
        <v>2019</v>
      </c>
      <c r="N75" s="211">
        <v>2020</v>
      </c>
      <c r="O75" s="323"/>
      <c r="P75" s="321"/>
      <c r="Q75" s="441"/>
      <c r="R75" s="423"/>
      <c r="S75" s="423"/>
      <c r="T75" s="449" t="s">
        <v>500</v>
      </c>
      <c r="U75" s="423"/>
      <c r="V75" s="449" t="s">
        <v>548</v>
      </c>
      <c r="W75" s="423"/>
      <c r="X75" s="424">
        <v>1</v>
      </c>
      <c r="Y75" s="425">
        <v>2013</v>
      </c>
      <c r="Z75" s="425">
        <v>2014</v>
      </c>
      <c r="AA75" s="425">
        <v>2015</v>
      </c>
      <c r="AB75" s="425">
        <v>2016</v>
      </c>
      <c r="AC75" s="425">
        <v>2017</v>
      </c>
      <c r="AD75" s="425">
        <v>2018</v>
      </c>
      <c r="AE75" s="425">
        <v>2019</v>
      </c>
      <c r="AF75" s="425">
        <v>2020</v>
      </c>
      <c r="AG75" s="423"/>
      <c r="AH75" s="424">
        <v>2</v>
      </c>
      <c r="AI75" s="425">
        <v>2013</v>
      </c>
      <c r="AJ75" s="425">
        <v>2014</v>
      </c>
      <c r="AK75" s="425">
        <v>2015</v>
      </c>
      <c r="AL75" s="425">
        <v>2016</v>
      </c>
      <c r="AM75" s="425">
        <v>2017</v>
      </c>
      <c r="AN75" s="425">
        <v>2018</v>
      </c>
      <c r="AO75" s="425">
        <v>2019</v>
      </c>
      <c r="AP75" s="425">
        <v>2020</v>
      </c>
      <c r="AQ75" s="423"/>
    </row>
    <row r="76" spans="1:43" s="522" customFormat="1" ht="12.75" customHeight="1" thickBot="1">
      <c r="A76" s="4"/>
      <c r="B76" s="5"/>
      <c r="C76" s="210">
        <v>0</v>
      </c>
      <c r="D76" s="946" t="str">
        <f>Translations!$B$1447</f>
        <v>Phase antérieure au début</v>
      </c>
      <c r="E76" s="947"/>
      <c r="F76" s="948"/>
      <c r="G76" s="391">
        <f>IF(SUM(IF(ISERROR(Y76),0,Y76),IF(ISERROR(AI76),0,AI76))=0,"",ROUND(SUM(IF(ISERROR(Y76),0,Y76),IF(ISERROR(AI76),0,AI76)),0))</f>
      </c>
      <c r="H76" s="391">
        <f aca="true" t="shared" si="5" ref="H76:H93">IF(SUM(IF(ISERROR(Z76),0,Z76),IF(ISERROR(AJ76),0,AJ76))=0,"",ROUND(SUM(IF(ISERROR(Z76),0,Z76),IF(ISERROR(AJ76),0,AJ76)),0))</f>
      </c>
      <c r="I76" s="391">
        <f aca="true" t="shared" si="6" ref="I76:I93">IF(SUM(IF(ISERROR(AA76),0,AA76),IF(ISERROR(AK76),0,AK76))=0,"",ROUND(SUM(IF(ISERROR(AA76),0,AA76),IF(ISERROR(AK76),0,AK76)),0))</f>
      </c>
      <c r="J76" s="391">
        <f aca="true" t="shared" si="7" ref="J76:J93">IF(SUM(IF(ISERROR(AB76),0,AB76),IF(ISERROR(AL76),0,AL76))=0,"",ROUND(SUM(IF(ISERROR(AB76),0,AB76),IF(ISERROR(AL76),0,AL76)),0))</f>
      </c>
      <c r="K76" s="391">
        <f aca="true" t="shared" si="8" ref="K76:K93">IF(SUM(IF(ISERROR(AC76),0,AC76),IF(ISERROR(AM76),0,AM76))=0,"",ROUND(SUM(IF(ISERROR(AC76),0,AC76),IF(ISERROR(AM76),0,AM76)),0))</f>
      </c>
      <c r="L76" s="391">
        <f aca="true" t="shared" si="9" ref="L76:L93">IF(SUM(IF(ISERROR(AD76),0,AD76),IF(ISERROR(AN76),0,AN76))=0,"",ROUND(SUM(IF(ISERROR(AD76),0,AD76),IF(ISERROR(AN76),0,AN76)),0))</f>
      </c>
      <c r="M76" s="391">
        <f aca="true" t="shared" si="10" ref="M76:M93">IF(SUM(IF(ISERROR(AE76),0,AE76),IF(ISERROR(AO76),0,AO76))=0,"",ROUND(SUM(IF(ISERROR(AE76),0,AE76),IF(ISERROR(AO76),0,AO76)),0))</f>
      </c>
      <c r="N76" s="391">
        <f aca="true" t="shared" si="11" ref="N76:N93">IF(SUM(IF(ISERROR(AF76),0,AF76),IF(ISERROR(AP76),0,AP76))=0,"",ROUND(SUM(IF(ISERROR(AF76),0,AF76),IF(ISERROR(AP76),0,AP76)),0))</f>
      </c>
      <c r="O76" s="378"/>
      <c r="P76" s="321"/>
      <c r="Q76" s="451" t="str">
        <f aca="true" t="shared" si="12" ref="Q76:Q93">EUconst_CNTR_Finitial&amp;1&amp;"_"&amp;$D76</f>
        <v>FInitial_1_Phase antérieure au début</v>
      </c>
      <c r="R76" s="451" t="str">
        <f aca="true" t="shared" si="13" ref="R76:R93">EUconst_CNTR_Finitial&amp;2&amp;"_"&amp;$D76</f>
        <v>FInitial_2_Phase antérieure au début</v>
      </c>
      <c r="S76" s="423"/>
      <c r="T76" s="449"/>
      <c r="U76" s="423"/>
      <c r="V76" s="452">
        <f>C72</f>
        <v>1</v>
      </c>
      <c r="W76" s="423"/>
      <c r="X76" s="426">
        <f>INDEX(CHOOSE($V76,C_MergerSplitTransfer!$H$9:$H$68,C_MergerSplitTransfer!$K$9:$K$68),MATCH(Q76,C_MergerSplitTransfer!$T$9:$T$68,0))</f>
        <v>0</v>
      </c>
      <c r="Y76" s="427">
        <f>IF(Y$75&lt;=CNTR_YearMergerSplit,"",INDEX(B_InitialSituation!G$9:G$153,MATCH($Q76,B_InitialSituation!$Q$9:$Q$153,0))*$X76)</f>
        <v>0</v>
      </c>
      <c r="Z76" s="427">
        <f>IF(Z$75&lt;=CNTR_YearMergerSplit,"",INDEX(B_InitialSituation!H$9:H$153,MATCH($Q76,B_InitialSituation!$Q$9:$Q$153,0))*$X76)</f>
        <v>0</v>
      </c>
      <c r="AA76" s="427">
        <f>IF(AA$75&lt;=CNTR_YearMergerSplit,"",INDEX(B_InitialSituation!I$9:I$153,MATCH($Q76,B_InitialSituation!$Q$9:$Q$153,0))*$X76)</f>
        <v>0</v>
      </c>
      <c r="AB76" s="427">
        <f>IF(AB$75&lt;=CNTR_YearMergerSplit,"",INDEX(B_InitialSituation!J$9:J$153,MATCH($Q76,B_InitialSituation!$Q$9:$Q$153,0))*$X76)</f>
        <v>0</v>
      </c>
      <c r="AC76" s="427">
        <f>IF(AC$75&lt;=CNTR_YearMergerSplit,"",INDEX(B_InitialSituation!K$9:K$153,MATCH($Q76,B_InitialSituation!$Q$9:$Q$153,0))*$X76)</f>
        <v>0</v>
      </c>
      <c r="AD76" s="427">
        <f>IF(AD$75&lt;=CNTR_YearMergerSplit,"",INDEX(B_InitialSituation!L$9:L$153,MATCH($Q76,B_InitialSituation!$Q$9:$Q$153,0))*$X76)</f>
        <v>0</v>
      </c>
      <c r="AE76" s="427">
        <f>IF(AE$75&lt;=CNTR_YearMergerSplit,"",INDEX(B_InitialSituation!M$9:M$153,MATCH($Q76,B_InitialSituation!$Q$9:$Q$153,0))*$X76)</f>
        <v>0</v>
      </c>
      <c r="AF76" s="427">
        <f>IF(AF$75&lt;=CNTR_YearMergerSplit,"",INDEX(B_InitialSituation!N$9:N$153,MATCH($Q76,B_InitialSituation!$Q$9:$Q$153,0))*$X76)</f>
        <v>0</v>
      </c>
      <c r="AG76" s="423"/>
      <c r="AH76" s="426">
        <f>INDEX(CHOOSE($V76,C_MergerSplitTransfer!$H$9:$H$68,C_MergerSplitTransfer!$K$9:$K$68),MATCH(R76,C_MergerSplitTransfer!$T$9:$T$68,0))</f>
        <v>0</v>
      </c>
      <c r="AI76" s="427">
        <f>IF(AI$75&lt;=CNTR_YearMergerSplit,"",INDEX(B_InitialSituation!G$9:G$153,MATCH($R76,B_InitialSituation!$Q$9:$Q$153,0))*$AH76)</f>
        <v>0</v>
      </c>
      <c r="AJ76" s="427">
        <f>IF(AJ$75&lt;=CNTR_YearMergerSplit,"",INDEX(B_InitialSituation!H$9:H$153,MATCH($R76,B_InitialSituation!$Q$9:$Q$153,0))*$AH76)</f>
        <v>0</v>
      </c>
      <c r="AK76" s="427">
        <f>IF(AK$75&lt;=CNTR_YearMergerSplit,"",INDEX(B_InitialSituation!I$9:I$153,MATCH($R76,B_InitialSituation!$Q$9:$Q$153,0))*$AH76)</f>
        <v>0</v>
      </c>
      <c r="AL76" s="427">
        <f>IF(AL$75&lt;=CNTR_YearMergerSplit,"",INDEX(B_InitialSituation!J$9:J$153,MATCH($R76,B_InitialSituation!$Q$9:$Q$153,0))*$AH76)</f>
        <v>0</v>
      </c>
      <c r="AM76" s="427">
        <f>IF(AM$75&lt;=CNTR_YearMergerSplit,"",INDEX(B_InitialSituation!K$9:K$153,MATCH($R76,B_InitialSituation!$Q$9:$Q$153,0))*$AH76)</f>
        <v>0</v>
      </c>
      <c r="AN76" s="427">
        <f>IF(AN$75&lt;=CNTR_YearMergerSplit,"",INDEX(B_InitialSituation!L$9:L$153,MATCH($R76,B_InitialSituation!$Q$9:$Q$153,0))*$AH76)</f>
        <v>0</v>
      </c>
      <c r="AO76" s="427">
        <f>IF(AO$75&lt;=CNTR_YearMergerSplit,"",INDEX(B_InitialSituation!M$9:M$153,MATCH($R76,B_InitialSituation!$Q$9:$Q$153,0))*$AH76)</f>
        <v>0</v>
      </c>
      <c r="AP76" s="427">
        <f>IF(AP$75&lt;=CNTR_YearMergerSplit,"",INDEX(B_InitialSituation!N$9:N$153,MATCH($R76,B_InitialSituation!$Q$9:$Q$153,0))*$AH76)</f>
        <v>0</v>
      </c>
      <c r="AQ76" s="423"/>
    </row>
    <row r="77" spans="1:43" s="522" customFormat="1" ht="12.75" customHeight="1">
      <c r="A77" s="4"/>
      <c r="B77" s="5"/>
      <c r="C77" s="29">
        <v>1</v>
      </c>
      <c r="D77" s="956">
        <f aca="true" t="shared" si="14" ref="D77:D86">IF(T77="","",T77)</f>
      </c>
      <c r="E77" s="957"/>
      <c r="F77" s="958"/>
      <c r="G77" s="392">
        <f aca="true" t="shared" si="15" ref="G77:G93">IF(SUM(IF(ISERROR(Y77),0,Y77),IF(ISERROR(AI77),0,AI77))=0,"",ROUND(SUM(IF(ISERROR(Y77),0,Y77),IF(ISERROR(AI77),0,AI77)),0))</f>
      </c>
      <c r="H77" s="392">
        <f t="shared" si="5"/>
      </c>
      <c r="I77" s="392">
        <f t="shared" si="6"/>
      </c>
      <c r="J77" s="392">
        <f t="shared" si="7"/>
      </c>
      <c r="K77" s="392">
        <f t="shared" si="8"/>
      </c>
      <c r="L77" s="392">
        <f t="shared" si="9"/>
      </c>
      <c r="M77" s="392">
        <f t="shared" si="10"/>
      </c>
      <c r="N77" s="392">
        <f t="shared" si="11"/>
      </c>
      <c r="O77" s="378"/>
      <c r="P77" s="481"/>
      <c r="Q77" s="451" t="str">
        <f t="shared" si="12"/>
        <v>FInitial_1_</v>
      </c>
      <c r="R77" s="451" t="str">
        <f t="shared" si="13"/>
        <v>FInitial_2_</v>
      </c>
      <c r="S77" s="423"/>
      <c r="T77" s="452">
        <f>IF(COUNTIF(B_InitialSituation!$T$9:$T$153,$C77)=0,"",INDEX(B_InitialSituation!$D$9:$D$153,MATCH($C77,B_InitialSituation!$T$9:$T$153,0)))</f>
      </c>
      <c r="U77" s="423"/>
      <c r="V77" s="453">
        <f aca="true" t="shared" si="16" ref="V77:V93">V76</f>
        <v>1</v>
      </c>
      <c r="W77" s="423"/>
      <c r="X77" s="428">
        <f>INDEX(CHOOSE($V77,C_MergerSplitTransfer!$H$9:$H$68,C_MergerSplitTransfer!$K$9:$K$68),MATCH(Q77,C_MergerSplitTransfer!$T$9:$T$68,0))</f>
        <v>0</v>
      </c>
      <c r="Y77" s="429">
        <f>IF(Y$75&lt;=CNTR_YearMergerSplit,"",INDEX(B_InitialSituation!G$9:G$153,MATCH($Q77,B_InitialSituation!$Q$9:$Q$153,0))*$X77)</f>
        <v>0</v>
      </c>
      <c r="Z77" s="429">
        <f>IF(Z$75&lt;=CNTR_YearMergerSplit,"",INDEX(B_InitialSituation!H$9:H$153,MATCH($Q77,B_InitialSituation!$Q$9:$Q$153,0))*$X77)</f>
        <v>0</v>
      </c>
      <c r="AA77" s="429">
        <f>IF(AA$75&lt;=CNTR_YearMergerSplit,"",INDEX(B_InitialSituation!I$9:I$153,MATCH($Q77,B_InitialSituation!$Q$9:$Q$153,0))*$X77)</f>
        <v>0</v>
      </c>
      <c r="AB77" s="429">
        <f>IF(AB$75&lt;=CNTR_YearMergerSplit,"",INDEX(B_InitialSituation!J$9:J$153,MATCH($Q77,B_InitialSituation!$Q$9:$Q$153,0))*$X77)</f>
        <v>0</v>
      </c>
      <c r="AC77" s="429">
        <f>IF(AC$75&lt;=CNTR_YearMergerSplit,"",INDEX(B_InitialSituation!K$9:K$153,MATCH($Q77,B_InitialSituation!$Q$9:$Q$153,0))*$X77)</f>
        <v>0</v>
      </c>
      <c r="AD77" s="429">
        <f>IF(AD$75&lt;=CNTR_YearMergerSplit,"",INDEX(B_InitialSituation!L$9:L$153,MATCH($Q77,B_InitialSituation!$Q$9:$Q$153,0))*$X77)</f>
        <v>0</v>
      </c>
      <c r="AE77" s="429">
        <f>IF(AE$75&lt;=CNTR_YearMergerSplit,"",INDEX(B_InitialSituation!M$9:M$153,MATCH($Q77,B_InitialSituation!$Q$9:$Q$153,0))*$X77)</f>
        <v>0</v>
      </c>
      <c r="AF77" s="429">
        <f>IF(AF$75&lt;=CNTR_YearMergerSplit,"",INDEX(B_InitialSituation!N$9:N$153,MATCH($Q77,B_InitialSituation!$Q$9:$Q$153,0))*$X77)</f>
        <v>0</v>
      </c>
      <c r="AG77" s="423"/>
      <c r="AH77" s="428">
        <f>INDEX(CHOOSE($V77,C_MergerSplitTransfer!$H$9:$H$68,C_MergerSplitTransfer!$K$9:$K$68),MATCH(R77,C_MergerSplitTransfer!$T$9:$T$68,0))</f>
        <v>0</v>
      </c>
      <c r="AI77" s="429">
        <f>IF(AI$75&lt;=CNTR_YearMergerSplit,"",INDEX(B_InitialSituation!G$9:G$153,MATCH($R77,B_InitialSituation!$Q$9:$Q$153,0))*$AH77)</f>
        <v>0</v>
      </c>
      <c r="AJ77" s="429">
        <f>IF(AJ$75&lt;=CNTR_YearMergerSplit,"",INDEX(B_InitialSituation!H$9:H$153,MATCH($R77,B_InitialSituation!$Q$9:$Q$153,0))*$AH77)</f>
        <v>0</v>
      </c>
      <c r="AK77" s="429">
        <f>IF(AK$75&lt;=CNTR_YearMergerSplit,"",INDEX(B_InitialSituation!I$9:I$153,MATCH($R77,B_InitialSituation!$Q$9:$Q$153,0))*$AH77)</f>
        <v>0</v>
      </c>
      <c r="AL77" s="429">
        <f>IF(AL$75&lt;=CNTR_YearMergerSplit,"",INDEX(B_InitialSituation!J$9:J$153,MATCH($R77,B_InitialSituation!$Q$9:$Q$153,0))*$AH77)</f>
        <v>0</v>
      </c>
      <c r="AM77" s="429">
        <f>IF(AM$75&lt;=CNTR_YearMergerSplit,"",INDEX(B_InitialSituation!K$9:K$153,MATCH($R77,B_InitialSituation!$Q$9:$Q$153,0))*$AH77)</f>
        <v>0</v>
      </c>
      <c r="AN77" s="429">
        <f>IF(AN$75&lt;=CNTR_YearMergerSplit,"",INDEX(B_InitialSituation!L$9:L$153,MATCH($R77,B_InitialSituation!$Q$9:$Q$153,0))*$AH77)</f>
        <v>0</v>
      </c>
      <c r="AO77" s="429">
        <f>IF(AO$75&lt;=CNTR_YearMergerSplit,"",INDEX(B_InitialSituation!M$9:M$153,MATCH($R77,B_InitialSituation!$Q$9:$Q$153,0))*$AH77)</f>
        <v>0</v>
      </c>
      <c r="AP77" s="429">
        <f>IF(AP$75&lt;=CNTR_YearMergerSplit,"",INDEX(B_InitialSituation!N$9:N$153,MATCH($R77,B_InitialSituation!$Q$9:$Q$153,0))*$AH77)</f>
        <v>0</v>
      </c>
      <c r="AQ77" s="423"/>
    </row>
    <row r="78" spans="1:43" s="522" customFormat="1" ht="12.75" customHeight="1">
      <c r="A78" s="4"/>
      <c r="B78" s="5"/>
      <c r="C78" s="29">
        <v>2</v>
      </c>
      <c r="D78" s="931">
        <f t="shared" si="14"/>
      </c>
      <c r="E78" s="932"/>
      <c r="F78" s="933"/>
      <c r="G78" s="393">
        <f t="shared" si="15"/>
      </c>
      <c r="H78" s="393">
        <f t="shared" si="5"/>
      </c>
      <c r="I78" s="393">
        <f t="shared" si="6"/>
      </c>
      <c r="J78" s="393">
        <f t="shared" si="7"/>
      </c>
      <c r="K78" s="393">
        <f t="shared" si="8"/>
      </c>
      <c r="L78" s="393">
        <f t="shared" si="9"/>
      </c>
      <c r="M78" s="393">
        <f t="shared" si="10"/>
      </c>
      <c r="N78" s="393">
        <f t="shared" si="11"/>
      </c>
      <c r="O78" s="323"/>
      <c r="P78" s="321"/>
      <c r="Q78" s="451" t="str">
        <f t="shared" si="12"/>
        <v>FInitial_1_</v>
      </c>
      <c r="R78" s="451" t="str">
        <f t="shared" si="13"/>
        <v>FInitial_2_</v>
      </c>
      <c r="S78" s="423"/>
      <c r="T78" s="453">
        <f>IF(COUNTIF(B_InitialSituation!$T$9:$T$153,$C78)=0,"",INDEX(B_InitialSituation!$D$9:$D$153,MATCH($C78,B_InitialSituation!$T$9:$T$153,0)))</f>
      </c>
      <c r="U78" s="423"/>
      <c r="V78" s="453">
        <f t="shared" si="16"/>
        <v>1</v>
      </c>
      <c r="W78" s="423"/>
      <c r="X78" s="430">
        <f>INDEX(CHOOSE($V78,C_MergerSplitTransfer!$H$9:$H$68,C_MergerSplitTransfer!$K$9:$K$68),MATCH(Q78,C_MergerSplitTransfer!$T$9:$T$68,0))</f>
        <v>0</v>
      </c>
      <c r="Y78" s="431">
        <f>IF(Y$75&lt;=CNTR_YearMergerSplit,"",INDEX(B_InitialSituation!G$9:G$153,MATCH($Q78,B_InitialSituation!$Q$9:$Q$153,0))*$X78)</f>
        <v>0</v>
      </c>
      <c r="Z78" s="431">
        <f>IF(Z$75&lt;=CNTR_YearMergerSplit,"",INDEX(B_InitialSituation!H$9:H$153,MATCH($Q78,B_InitialSituation!$Q$9:$Q$153,0))*$X78)</f>
        <v>0</v>
      </c>
      <c r="AA78" s="431">
        <f>IF(AA$75&lt;=CNTR_YearMergerSplit,"",INDEX(B_InitialSituation!I$9:I$153,MATCH($Q78,B_InitialSituation!$Q$9:$Q$153,0))*$X78)</f>
        <v>0</v>
      </c>
      <c r="AB78" s="431">
        <f>IF(AB$75&lt;=CNTR_YearMergerSplit,"",INDEX(B_InitialSituation!J$9:J$153,MATCH($Q78,B_InitialSituation!$Q$9:$Q$153,0))*$X78)</f>
        <v>0</v>
      </c>
      <c r="AC78" s="431">
        <f>IF(AC$75&lt;=CNTR_YearMergerSplit,"",INDEX(B_InitialSituation!K$9:K$153,MATCH($Q78,B_InitialSituation!$Q$9:$Q$153,0))*$X78)</f>
        <v>0</v>
      </c>
      <c r="AD78" s="431">
        <f>IF(AD$75&lt;=CNTR_YearMergerSplit,"",INDEX(B_InitialSituation!L$9:L$153,MATCH($Q78,B_InitialSituation!$Q$9:$Q$153,0))*$X78)</f>
        <v>0</v>
      </c>
      <c r="AE78" s="431">
        <f>IF(AE$75&lt;=CNTR_YearMergerSplit,"",INDEX(B_InitialSituation!M$9:M$153,MATCH($Q78,B_InitialSituation!$Q$9:$Q$153,0))*$X78)</f>
        <v>0</v>
      </c>
      <c r="AF78" s="431">
        <f>IF(AF$75&lt;=CNTR_YearMergerSplit,"",INDEX(B_InitialSituation!N$9:N$153,MATCH($Q78,B_InitialSituation!$Q$9:$Q$153,0))*$X78)</f>
        <v>0</v>
      </c>
      <c r="AG78" s="423"/>
      <c r="AH78" s="430">
        <f>INDEX(CHOOSE($V78,C_MergerSplitTransfer!$H$9:$H$68,C_MergerSplitTransfer!$K$9:$K$68),MATCH(R78,C_MergerSplitTransfer!$T$9:$T$68,0))</f>
        <v>0</v>
      </c>
      <c r="AI78" s="431">
        <f>IF(AI$75&lt;=CNTR_YearMergerSplit,"",INDEX(B_InitialSituation!G$9:G$153,MATCH($R78,B_InitialSituation!$Q$9:$Q$153,0))*$AH78)</f>
        <v>0</v>
      </c>
      <c r="AJ78" s="431">
        <f>IF(AJ$75&lt;=CNTR_YearMergerSplit,"",INDEX(B_InitialSituation!H$9:H$153,MATCH($R78,B_InitialSituation!$Q$9:$Q$153,0))*$AH78)</f>
        <v>0</v>
      </c>
      <c r="AK78" s="431">
        <f>IF(AK$75&lt;=CNTR_YearMergerSplit,"",INDEX(B_InitialSituation!I$9:I$153,MATCH($R78,B_InitialSituation!$Q$9:$Q$153,0))*$AH78)</f>
        <v>0</v>
      </c>
      <c r="AL78" s="431">
        <f>IF(AL$75&lt;=CNTR_YearMergerSplit,"",INDEX(B_InitialSituation!J$9:J$153,MATCH($R78,B_InitialSituation!$Q$9:$Q$153,0))*$AH78)</f>
        <v>0</v>
      </c>
      <c r="AM78" s="431">
        <f>IF(AM$75&lt;=CNTR_YearMergerSplit,"",INDEX(B_InitialSituation!K$9:K$153,MATCH($R78,B_InitialSituation!$Q$9:$Q$153,0))*$AH78)</f>
        <v>0</v>
      </c>
      <c r="AN78" s="431">
        <f>IF(AN$75&lt;=CNTR_YearMergerSplit,"",INDEX(B_InitialSituation!L$9:L$153,MATCH($R78,B_InitialSituation!$Q$9:$Q$153,0))*$AH78)</f>
        <v>0</v>
      </c>
      <c r="AO78" s="431">
        <f>IF(AO$75&lt;=CNTR_YearMergerSplit,"",INDEX(B_InitialSituation!M$9:M$153,MATCH($R78,B_InitialSituation!$Q$9:$Q$153,0))*$AH78)</f>
        <v>0</v>
      </c>
      <c r="AP78" s="431">
        <f>IF(AP$75&lt;=CNTR_YearMergerSplit,"",INDEX(B_InitialSituation!N$9:N$153,MATCH($R78,B_InitialSituation!$Q$9:$Q$153,0))*$AH78)</f>
        <v>0</v>
      </c>
      <c r="AQ78" s="423"/>
    </row>
    <row r="79" spans="1:43" s="522" customFormat="1" ht="12.75" customHeight="1">
      <c r="A79" s="4"/>
      <c r="B79" s="5"/>
      <c r="C79" s="29">
        <v>3</v>
      </c>
      <c r="D79" s="931">
        <f t="shared" si="14"/>
      </c>
      <c r="E79" s="932"/>
      <c r="F79" s="933"/>
      <c r="G79" s="393">
        <f t="shared" si="15"/>
      </c>
      <c r="H79" s="393">
        <f t="shared" si="5"/>
      </c>
      <c r="I79" s="393">
        <f t="shared" si="6"/>
      </c>
      <c r="J79" s="393">
        <f t="shared" si="7"/>
      </c>
      <c r="K79" s="393">
        <f t="shared" si="8"/>
      </c>
      <c r="L79" s="393">
        <f t="shared" si="9"/>
      </c>
      <c r="M79" s="393">
        <f t="shared" si="10"/>
      </c>
      <c r="N79" s="393">
        <f t="shared" si="11"/>
      </c>
      <c r="O79" s="323"/>
      <c r="P79" s="321"/>
      <c r="Q79" s="451" t="str">
        <f t="shared" si="12"/>
        <v>FInitial_1_</v>
      </c>
      <c r="R79" s="451" t="str">
        <f t="shared" si="13"/>
        <v>FInitial_2_</v>
      </c>
      <c r="S79" s="423"/>
      <c r="T79" s="453">
        <f>IF(COUNTIF(B_InitialSituation!$T$9:$T$153,$C79)=0,"",INDEX(B_InitialSituation!$D$9:$D$153,MATCH($C79,B_InitialSituation!$T$9:$T$153,0)))</f>
      </c>
      <c r="U79" s="423"/>
      <c r="V79" s="453">
        <f t="shared" si="16"/>
        <v>1</v>
      </c>
      <c r="W79" s="423"/>
      <c r="X79" s="430">
        <f>INDEX(CHOOSE($V79,C_MergerSplitTransfer!$H$9:$H$68,C_MergerSplitTransfer!$K$9:$K$68),MATCH(Q79,C_MergerSplitTransfer!$T$9:$T$68,0))</f>
        <v>0</v>
      </c>
      <c r="Y79" s="431">
        <f>IF(Y$75&lt;=CNTR_YearMergerSplit,"",INDEX(B_InitialSituation!G$9:G$153,MATCH($Q79,B_InitialSituation!$Q$9:$Q$153,0))*$X79)</f>
        <v>0</v>
      </c>
      <c r="Z79" s="431">
        <f>IF(Z$75&lt;=CNTR_YearMergerSplit,"",INDEX(B_InitialSituation!H$9:H$153,MATCH($Q79,B_InitialSituation!$Q$9:$Q$153,0))*$X79)</f>
        <v>0</v>
      </c>
      <c r="AA79" s="431">
        <f>IF(AA$75&lt;=CNTR_YearMergerSplit,"",INDEX(B_InitialSituation!I$9:I$153,MATCH($Q79,B_InitialSituation!$Q$9:$Q$153,0))*$X79)</f>
        <v>0</v>
      </c>
      <c r="AB79" s="431">
        <f>IF(AB$75&lt;=CNTR_YearMergerSplit,"",INDEX(B_InitialSituation!J$9:J$153,MATCH($Q79,B_InitialSituation!$Q$9:$Q$153,0))*$X79)</f>
        <v>0</v>
      </c>
      <c r="AC79" s="431">
        <f>IF(AC$75&lt;=CNTR_YearMergerSplit,"",INDEX(B_InitialSituation!K$9:K$153,MATCH($Q79,B_InitialSituation!$Q$9:$Q$153,0))*$X79)</f>
        <v>0</v>
      </c>
      <c r="AD79" s="431">
        <f>IF(AD$75&lt;=CNTR_YearMergerSplit,"",INDEX(B_InitialSituation!L$9:L$153,MATCH($Q79,B_InitialSituation!$Q$9:$Q$153,0))*$X79)</f>
        <v>0</v>
      </c>
      <c r="AE79" s="431">
        <f>IF(AE$75&lt;=CNTR_YearMergerSplit,"",INDEX(B_InitialSituation!M$9:M$153,MATCH($Q79,B_InitialSituation!$Q$9:$Q$153,0))*$X79)</f>
        <v>0</v>
      </c>
      <c r="AF79" s="431">
        <f>IF(AF$75&lt;=CNTR_YearMergerSplit,"",INDEX(B_InitialSituation!N$9:N$153,MATCH($Q79,B_InitialSituation!$Q$9:$Q$153,0))*$X79)</f>
        <v>0</v>
      </c>
      <c r="AG79" s="423"/>
      <c r="AH79" s="430">
        <f>INDEX(CHOOSE($V79,C_MergerSplitTransfer!$H$9:$H$68,C_MergerSplitTransfer!$K$9:$K$68),MATCH(R79,C_MergerSplitTransfer!$T$9:$T$68,0))</f>
        <v>0</v>
      </c>
      <c r="AI79" s="431">
        <f>IF(AI$75&lt;=CNTR_YearMergerSplit,"",INDEX(B_InitialSituation!G$9:G$153,MATCH($R79,B_InitialSituation!$Q$9:$Q$153,0))*$AH79)</f>
        <v>0</v>
      </c>
      <c r="AJ79" s="431">
        <f>IF(AJ$75&lt;=CNTR_YearMergerSplit,"",INDEX(B_InitialSituation!H$9:H$153,MATCH($R79,B_InitialSituation!$Q$9:$Q$153,0))*$AH79)</f>
        <v>0</v>
      </c>
      <c r="AK79" s="431">
        <f>IF(AK$75&lt;=CNTR_YearMergerSplit,"",INDEX(B_InitialSituation!I$9:I$153,MATCH($R79,B_InitialSituation!$Q$9:$Q$153,0))*$AH79)</f>
        <v>0</v>
      </c>
      <c r="AL79" s="431">
        <f>IF(AL$75&lt;=CNTR_YearMergerSplit,"",INDEX(B_InitialSituation!J$9:J$153,MATCH($R79,B_InitialSituation!$Q$9:$Q$153,0))*$AH79)</f>
        <v>0</v>
      </c>
      <c r="AM79" s="431">
        <f>IF(AM$75&lt;=CNTR_YearMergerSplit,"",INDEX(B_InitialSituation!K$9:K$153,MATCH($R79,B_InitialSituation!$Q$9:$Q$153,0))*$AH79)</f>
        <v>0</v>
      </c>
      <c r="AN79" s="431">
        <f>IF(AN$75&lt;=CNTR_YearMergerSplit,"",INDEX(B_InitialSituation!L$9:L$153,MATCH($R79,B_InitialSituation!$Q$9:$Q$153,0))*$AH79)</f>
        <v>0</v>
      </c>
      <c r="AO79" s="431">
        <f>IF(AO$75&lt;=CNTR_YearMergerSplit,"",INDEX(B_InitialSituation!M$9:M$153,MATCH($R79,B_InitialSituation!$Q$9:$Q$153,0))*$AH79)</f>
        <v>0</v>
      </c>
      <c r="AP79" s="431">
        <f>IF(AP$75&lt;=CNTR_YearMergerSplit,"",INDEX(B_InitialSituation!N$9:N$153,MATCH($R79,B_InitialSituation!$Q$9:$Q$153,0))*$AH79)</f>
        <v>0</v>
      </c>
      <c r="AQ79" s="423"/>
    </row>
    <row r="80" spans="1:43" s="522" customFormat="1" ht="12.75" customHeight="1">
      <c r="A80" s="4"/>
      <c r="B80" s="5"/>
      <c r="C80" s="29">
        <v>4</v>
      </c>
      <c r="D80" s="931">
        <f t="shared" si="14"/>
      </c>
      <c r="E80" s="932"/>
      <c r="F80" s="933"/>
      <c r="G80" s="393">
        <f t="shared" si="15"/>
      </c>
      <c r="H80" s="393">
        <f t="shared" si="5"/>
      </c>
      <c r="I80" s="393">
        <f t="shared" si="6"/>
      </c>
      <c r="J80" s="393">
        <f t="shared" si="7"/>
      </c>
      <c r="K80" s="393">
        <f t="shared" si="8"/>
      </c>
      <c r="L80" s="393">
        <f t="shared" si="9"/>
      </c>
      <c r="M80" s="393">
        <f t="shared" si="10"/>
      </c>
      <c r="N80" s="393">
        <f t="shared" si="11"/>
      </c>
      <c r="O80" s="323"/>
      <c r="P80" s="321"/>
      <c r="Q80" s="451" t="str">
        <f t="shared" si="12"/>
        <v>FInitial_1_</v>
      </c>
      <c r="R80" s="451" t="str">
        <f t="shared" si="13"/>
        <v>FInitial_2_</v>
      </c>
      <c r="S80" s="423"/>
      <c r="T80" s="453">
        <f>IF(COUNTIF(B_InitialSituation!$T$9:$T$153,$C80)=0,"",INDEX(B_InitialSituation!$D$9:$D$153,MATCH($C80,B_InitialSituation!$T$9:$T$153,0)))</f>
      </c>
      <c r="U80" s="423"/>
      <c r="V80" s="453">
        <f t="shared" si="16"/>
        <v>1</v>
      </c>
      <c r="W80" s="423"/>
      <c r="X80" s="430">
        <f>INDEX(CHOOSE($V80,C_MergerSplitTransfer!$H$9:$H$68,C_MergerSplitTransfer!$K$9:$K$68),MATCH(Q80,C_MergerSplitTransfer!$T$9:$T$68,0))</f>
        <v>0</v>
      </c>
      <c r="Y80" s="431">
        <f>IF(Y$75&lt;=CNTR_YearMergerSplit,"",INDEX(B_InitialSituation!G$9:G$153,MATCH($Q80,B_InitialSituation!$Q$9:$Q$153,0))*$X80)</f>
        <v>0</v>
      </c>
      <c r="Z80" s="431">
        <f>IF(Z$75&lt;=CNTR_YearMergerSplit,"",INDEX(B_InitialSituation!H$9:H$153,MATCH($Q80,B_InitialSituation!$Q$9:$Q$153,0))*$X80)</f>
        <v>0</v>
      </c>
      <c r="AA80" s="431">
        <f>IF(AA$75&lt;=CNTR_YearMergerSplit,"",INDEX(B_InitialSituation!I$9:I$153,MATCH($Q80,B_InitialSituation!$Q$9:$Q$153,0))*$X80)</f>
        <v>0</v>
      </c>
      <c r="AB80" s="431">
        <f>IF(AB$75&lt;=CNTR_YearMergerSplit,"",INDEX(B_InitialSituation!J$9:J$153,MATCH($Q80,B_InitialSituation!$Q$9:$Q$153,0))*$X80)</f>
        <v>0</v>
      </c>
      <c r="AC80" s="431">
        <f>IF(AC$75&lt;=CNTR_YearMergerSplit,"",INDEX(B_InitialSituation!K$9:K$153,MATCH($Q80,B_InitialSituation!$Q$9:$Q$153,0))*$X80)</f>
        <v>0</v>
      </c>
      <c r="AD80" s="431">
        <f>IF(AD$75&lt;=CNTR_YearMergerSplit,"",INDEX(B_InitialSituation!L$9:L$153,MATCH($Q80,B_InitialSituation!$Q$9:$Q$153,0))*$X80)</f>
        <v>0</v>
      </c>
      <c r="AE80" s="431">
        <f>IF(AE$75&lt;=CNTR_YearMergerSplit,"",INDEX(B_InitialSituation!M$9:M$153,MATCH($Q80,B_InitialSituation!$Q$9:$Q$153,0))*$X80)</f>
        <v>0</v>
      </c>
      <c r="AF80" s="431">
        <f>IF(AF$75&lt;=CNTR_YearMergerSplit,"",INDEX(B_InitialSituation!N$9:N$153,MATCH($Q80,B_InitialSituation!$Q$9:$Q$153,0))*$X80)</f>
        <v>0</v>
      </c>
      <c r="AG80" s="423"/>
      <c r="AH80" s="430">
        <f>INDEX(CHOOSE($V80,C_MergerSplitTransfer!$H$9:$H$68,C_MergerSplitTransfer!$K$9:$K$68),MATCH(R80,C_MergerSplitTransfer!$T$9:$T$68,0))</f>
        <v>0</v>
      </c>
      <c r="AI80" s="431">
        <f>IF(AI$75&lt;=CNTR_YearMergerSplit,"",INDEX(B_InitialSituation!G$9:G$153,MATCH($R80,B_InitialSituation!$Q$9:$Q$153,0))*$AH80)</f>
        <v>0</v>
      </c>
      <c r="AJ80" s="431">
        <f>IF(AJ$75&lt;=CNTR_YearMergerSplit,"",INDEX(B_InitialSituation!H$9:H$153,MATCH($R80,B_InitialSituation!$Q$9:$Q$153,0))*$AH80)</f>
        <v>0</v>
      </c>
      <c r="AK80" s="431">
        <f>IF(AK$75&lt;=CNTR_YearMergerSplit,"",INDEX(B_InitialSituation!I$9:I$153,MATCH($R80,B_InitialSituation!$Q$9:$Q$153,0))*$AH80)</f>
        <v>0</v>
      </c>
      <c r="AL80" s="431">
        <f>IF(AL$75&lt;=CNTR_YearMergerSplit,"",INDEX(B_InitialSituation!J$9:J$153,MATCH($R80,B_InitialSituation!$Q$9:$Q$153,0))*$AH80)</f>
        <v>0</v>
      </c>
      <c r="AM80" s="431">
        <f>IF(AM$75&lt;=CNTR_YearMergerSplit,"",INDEX(B_InitialSituation!K$9:K$153,MATCH($R80,B_InitialSituation!$Q$9:$Q$153,0))*$AH80)</f>
        <v>0</v>
      </c>
      <c r="AN80" s="431">
        <f>IF(AN$75&lt;=CNTR_YearMergerSplit,"",INDEX(B_InitialSituation!L$9:L$153,MATCH($R80,B_InitialSituation!$Q$9:$Q$153,0))*$AH80)</f>
        <v>0</v>
      </c>
      <c r="AO80" s="431">
        <f>IF(AO$75&lt;=CNTR_YearMergerSplit,"",INDEX(B_InitialSituation!M$9:M$153,MATCH($R80,B_InitialSituation!$Q$9:$Q$153,0))*$AH80)</f>
        <v>0</v>
      </c>
      <c r="AP80" s="431">
        <f>IF(AP$75&lt;=CNTR_YearMergerSplit,"",INDEX(B_InitialSituation!N$9:N$153,MATCH($R80,B_InitialSituation!$Q$9:$Q$153,0))*$AH80)</f>
        <v>0</v>
      </c>
      <c r="AQ80" s="423"/>
    </row>
    <row r="81" spans="1:43" s="522" customFormat="1" ht="12.75" customHeight="1">
      <c r="A81" s="4"/>
      <c r="B81" s="5"/>
      <c r="C81" s="29">
        <v>5</v>
      </c>
      <c r="D81" s="931">
        <f t="shared" si="14"/>
      </c>
      <c r="E81" s="932"/>
      <c r="F81" s="933"/>
      <c r="G81" s="393">
        <f t="shared" si="15"/>
      </c>
      <c r="H81" s="393">
        <f t="shared" si="5"/>
      </c>
      <c r="I81" s="393">
        <f t="shared" si="6"/>
      </c>
      <c r="J81" s="393">
        <f t="shared" si="7"/>
      </c>
      <c r="K81" s="393">
        <f t="shared" si="8"/>
      </c>
      <c r="L81" s="393">
        <f t="shared" si="9"/>
      </c>
      <c r="M81" s="393">
        <f t="shared" si="10"/>
      </c>
      <c r="N81" s="393">
        <f t="shared" si="11"/>
      </c>
      <c r="O81" s="323"/>
      <c r="P81" s="321"/>
      <c r="Q81" s="451" t="str">
        <f t="shared" si="12"/>
        <v>FInitial_1_</v>
      </c>
      <c r="R81" s="451" t="str">
        <f t="shared" si="13"/>
        <v>FInitial_2_</v>
      </c>
      <c r="S81" s="423"/>
      <c r="T81" s="453">
        <f>IF(COUNTIF(B_InitialSituation!$T$9:$T$153,$C81)=0,"",INDEX(B_InitialSituation!$D$9:$D$153,MATCH($C81,B_InitialSituation!$T$9:$T$153,0)))</f>
      </c>
      <c r="U81" s="423"/>
      <c r="V81" s="453">
        <f t="shared" si="16"/>
        <v>1</v>
      </c>
      <c r="W81" s="423"/>
      <c r="X81" s="430">
        <f>INDEX(CHOOSE($V81,C_MergerSplitTransfer!$H$9:$H$68,C_MergerSplitTransfer!$K$9:$K$68),MATCH(Q81,C_MergerSplitTransfer!$T$9:$T$68,0))</f>
        <v>0</v>
      </c>
      <c r="Y81" s="431">
        <f>IF(Y$75&lt;=CNTR_YearMergerSplit,"",INDEX(B_InitialSituation!G$9:G$153,MATCH($Q81,B_InitialSituation!$Q$9:$Q$153,0))*$X81)</f>
        <v>0</v>
      </c>
      <c r="Z81" s="431">
        <f>IF(Z$75&lt;=CNTR_YearMergerSplit,"",INDEX(B_InitialSituation!H$9:H$153,MATCH($Q81,B_InitialSituation!$Q$9:$Q$153,0))*$X81)</f>
        <v>0</v>
      </c>
      <c r="AA81" s="431">
        <f>IF(AA$75&lt;=CNTR_YearMergerSplit,"",INDEX(B_InitialSituation!I$9:I$153,MATCH($Q81,B_InitialSituation!$Q$9:$Q$153,0))*$X81)</f>
        <v>0</v>
      </c>
      <c r="AB81" s="431">
        <f>IF(AB$75&lt;=CNTR_YearMergerSplit,"",INDEX(B_InitialSituation!J$9:J$153,MATCH($Q81,B_InitialSituation!$Q$9:$Q$153,0))*$X81)</f>
        <v>0</v>
      </c>
      <c r="AC81" s="431">
        <f>IF(AC$75&lt;=CNTR_YearMergerSplit,"",INDEX(B_InitialSituation!K$9:K$153,MATCH($Q81,B_InitialSituation!$Q$9:$Q$153,0))*$X81)</f>
        <v>0</v>
      </c>
      <c r="AD81" s="431">
        <f>IF(AD$75&lt;=CNTR_YearMergerSplit,"",INDEX(B_InitialSituation!L$9:L$153,MATCH($Q81,B_InitialSituation!$Q$9:$Q$153,0))*$X81)</f>
        <v>0</v>
      </c>
      <c r="AE81" s="431">
        <f>IF(AE$75&lt;=CNTR_YearMergerSplit,"",INDEX(B_InitialSituation!M$9:M$153,MATCH($Q81,B_InitialSituation!$Q$9:$Q$153,0))*$X81)</f>
        <v>0</v>
      </c>
      <c r="AF81" s="431">
        <f>IF(AF$75&lt;=CNTR_YearMergerSplit,"",INDEX(B_InitialSituation!N$9:N$153,MATCH($Q81,B_InitialSituation!$Q$9:$Q$153,0))*$X81)</f>
        <v>0</v>
      </c>
      <c r="AG81" s="423"/>
      <c r="AH81" s="430">
        <f>INDEX(CHOOSE($V81,C_MergerSplitTransfer!$H$9:$H$68,C_MergerSplitTransfer!$K$9:$K$68),MATCH(R81,C_MergerSplitTransfer!$T$9:$T$68,0))</f>
        <v>0</v>
      </c>
      <c r="AI81" s="431">
        <f>IF(AI$75&lt;=CNTR_YearMergerSplit,"",INDEX(B_InitialSituation!G$9:G$153,MATCH($R81,B_InitialSituation!$Q$9:$Q$153,0))*$AH81)</f>
        <v>0</v>
      </c>
      <c r="AJ81" s="431">
        <f>IF(AJ$75&lt;=CNTR_YearMergerSplit,"",INDEX(B_InitialSituation!H$9:H$153,MATCH($R81,B_InitialSituation!$Q$9:$Q$153,0))*$AH81)</f>
        <v>0</v>
      </c>
      <c r="AK81" s="431">
        <f>IF(AK$75&lt;=CNTR_YearMergerSplit,"",INDEX(B_InitialSituation!I$9:I$153,MATCH($R81,B_InitialSituation!$Q$9:$Q$153,0))*$AH81)</f>
        <v>0</v>
      </c>
      <c r="AL81" s="431">
        <f>IF(AL$75&lt;=CNTR_YearMergerSplit,"",INDEX(B_InitialSituation!J$9:J$153,MATCH($R81,B_InitialSituation!$Q$9:$Q$153,0))*$AH81)</f>
        <v>0</v>
      </c>
      <c r="AM81" s="431">
        <f>IF(AM$75&lt;=CNTR_YearMergerSplit,"",INDEX(B_InitialSituation!K$9:K$153,MATCH($R81,B_InitialSituation!$Q$9:$Q$153,0))*$AH81)</f>
        <v>0</v>
      </c>
      <c r="AN81" s="431">
        <f>IF(AN$75&lt;=CNTR_YearMergerSplit,"",INDEX(B_InitialSituation!L$9:L$153,MATCH($R81,B_InitialSituation!$Q$9:$Q$153,0))*$AH81)</f>
        <v>0</v>
      </c>
      <c r="AO81" s="431">
        <f>IF(AO$75&lt;=CNTR_YearMergerSplit,"",INDEX(B_InitialSituation!M$9:M$153,MATCH($R81,B_InitialSituation!$Q$9:$Q$153,0))*$AH81)</f>
        <v>0</v>
      </c>
      <c r="AP81" s="431">
        <f>IF(AP$75&lt;=CNTR_YearMergerSplit,"",INDEX(B_InitialSituation!N$9:N$153,MATCH($R81,B_InitialSituation!$Q$9:$Q$153,0))*$AH81)</f>
        <v>0</v>
      </c>
      <c r="AQ81" s="423"/>
    </row>
    <row r="82" spans="1:43" s="522" customFormat="1" ht="12.75" customHeight="1">
      <c r="A82" s="4"/>
      <c r="B82" s="5"/>
      <c r="C82" s="29">
        <v>6</v>
      </c>
      <c r="D82" s="931">
        <f t="shared" si="14"/>
      </c>
      <c r="E82" s="932"/>
      <c r="F82" s="933"/>
      <c r="G82" s="393">
        <f t="shared" si="15"/>
      </c>
      <c r="H82" s="393">
        <f t="shared" si="5"/>
      </c>
      <c r="I82" s="393">
        <f t="shared" si="6"/>
      </c>
      <c r="J82" s="393">
        <f t="shared" si="7"/>
      </c>
      <c r="K82" s="393">
        <f t="shared" si="8"/>
      </c>
      <c r="L82" s="393">
        <f t="shared" si="9"/>
      </c>
      <c r="M82" s="393">
        <f t="shared" si="10"/>
      </c>
      <c r="N82" s="393">
        <f t="shared" si="11"/>
      </c>
      <c r="O82" s="323"/>
      <c r="P82" s="9"/>
      <c r="Q82" s="451" t="str">
        <f t="shared" si="12"/>
        <v>FInitial_1_</v>
      </c>
      <c r="R82" s="451" t="str">
        <f t="shared" si="13"/>
        <v>FInitial_2_</v>
      </c>
      <c r="S82" s="423"/>
      <c r="T82" s="453">
        <f>IF(COUNTIF(B_InitialSituation!$T$9:$T$153,$C82)=0,"",INDEX(B_InitialSituation!$D$9:$D$153,MATCH($C82,B_InitialSituation!$T$9:$T$153,0)))</f>
      </c>
      <c r="U82" s="423"/>
      <c r="V82" s="453">
        <f t="shared" si="16"/>
        <v>1</v>
      </c>
      <c r="W82" s="423"/>
      <c r="X82" s="430">
        <f>INDEX(CHOOSE($V82,C_MergerSplitTransfer!$H$9:$H$68,C_MergerSplitTransfer!$K$9:$K$68),MATCH(Q82,C_MergerSplitTransfer!$T$9:$T$68,0))</f>
        <v>0</v>
      </c>
      <c r="Y82" s="431">
        <f>IF(Y$75&lt;=CNTR_YearMergerSplit,"",INDEX(B_InitialSituation!G$9:G$153,MATCH($Q82,B_InitialSituation!$Q$9:$Q$153,0))*$X82)</f>
        <v>0</v>
      </c>
      <c r="Z82" s="431">
        <f>IF(Z$75&lt;=CNTR_YearMergerSplit,"",INDEX(B_InitialSituation!H$9:H$153,MATCH($Q82,B_InitialSituation!$Q$9:$Q$153,0))*$X82)</f>
        <v>0</v>
      </c>
      <c r="AA82" s="431">
        <f>IF(AA$75&lt;=CNTR_YearMergerSplit,"",INDEX(B_InitialSituation!I$9:I$153,MATCH($Q82,B_InitialSituation!$Q$9:$Q$153,0))*$X82)</f>
        <v>0</v>
      </c>
      <c r="AB82" s="431">
        <f>IF(AB$75&lt;=CNTR_YearMergerSplit,"",INDEX(B_InitialSituation!J$9:J$153,MATCH($Q82,B_InitialSituation!$Q$9:$Q$153,0))*$X82)</f>
        <v>0</v>
      </c>
      <c r="AC82" s="431">
        <f>IF(AC$75&lt;=CNTR_YearMergerSplit,"",INDEX(B_InitialSituation!K$9:K$153,MATCH($Q82,B_InitialSituation!$Q$9:$Q$153,0))*$X82)</f>
        <v>0</v>
      </c>
      <c r="AD82" s="431">
        <f>IF(AD$75&lt;=CNTR_YearMergerSplit,"",INDEX(B_InitialSituation!L$9:L$153,MATCH($Q82,B_InitialSituation!$Q$9:$Q$153,0))*$X82)</f>
        <v>0</v>
      </c>
      <c r="AE82" s="431">
        <f>IF(AE$75&lt;=CNTR_YearMergerSplit,"",INDEX(B_InitialSituation!M$9:M$153,MATCH($Q82,B_InitialSituation!$Q$9:$Q$153,0))*$X82)</f>
        <v>0</v>
      </c>
      <c r="AF82" s="431">
        <f>IF(AF$75&lt;=CNTR_YearMergerSplit,"",INDEX(B_InitialSituation!N$9:N$153,MATCH($Q82,B_InitialSituation!$Q$9:$Q$153,0))*$X82)</f>
        <v>0</v>
      </c>
      <c r="AG82" s="423"/>
      <c r="AH82" s="430">
        <f>INDEX(CHOOSE($V82,C_MergerSplitTransfer!$H$9:$H$68,C_MergerSplitTransfer!$K$9:$K$68),MATCH(R82,C_MergerSplitTransfer!$T$9:$T$68,0))</f>
        <v>0</v>
      </c>
      <c r="AI82" s="431">
        <f>IF(AI$75&lt;=CNTR_YearMergerSplit,"",INDEX(B_InitialSituation!G$9:G$153,MATCH($R82,B_InitialSituation!$Q$9:$Q$153,0))*$AH82)</f>
        <v>0</v>
      </c>
      <c r="AJ82" s="431">
        <f>IF(AJ$75&lt;=CNTR_YearMergerSplit,"",INDEX(B_InitialSituation!H$9:H$153,MATCH($R82,B_InitialSituation!$Q$9:$Q$153,0))*$AH82)</f>
        <v>0</v>
      </c>
      <c r="AK82" s="431">
        <f>IF(AK$75&lt;=CNTR_YearMergerSplit,"",INDEX(B_InitialSituation!I$9:I$153,MATCH($R82,B_InitialSituation!$Q$9:$Q$153,0))*$AH82)</f>
        <v>0</v>
      </c>
      <c r="AL82" s="431">
        <f>IF(AL$75&lt;=CNTR_YearMergerSplit,"",INDEX(B_InitialSituation!J$9:J$153,MATCH($R82,B_InitialSituation!$Q$9:$Q$153,0))*$AH82)</f>
        <v>0</v>
      </c>
      <c r="AM82" s="431">
        <f>IF(AM$75&lt;=CNTR_YearMergerSplit,"",INDEX(B_InitialSituation!K$9:K$153,MATCH($R82,B_InitialSituation!$Q$9:$Q$153,0))*$AH82)</f>
        <v>0</v>
      </c>
      <c r="AN82" s="431">
        <f>IF(AN$75&lt;=CNTR_YearMergerSplit,"",INDEX(B_InitialSituation!L$9:L$153,MATCH($R82,B_InitialSituation!$Q$9:$Q$153,0))*$AH82)</f>
        <v>0</v>
      </c>
      <c r="AO82" s="431">
        <f>IF(AO$75&lt;=CNTR_YearMergerSplit,"",INDEX(B_InitialSituation!M$9:M$153,MATCH($R82,B_InitialSituation!$Q$9:$Q$153,0))*$AH82)</f>
        <v>0</v>
      </c>
      <c r="AP82" s="431">
        <f>IF(AP$75&lt;=CNTR_YearMergerSplit,"",INDEX(B_InitialSituation!N$9:N$153,MATCH($R82,B_InitialSituation!$Q$9:$Q$153,0))*$AH82)</f>
        <v>0</v>
      </c>
      <c r="AQ82" s="423"/>
    </row>
    <row r="83" spans="1:43" s="522" customFormat="1" ht="12.75" customHeight="1">
      <c r="A83" s="4"/>
      <c r="B83" s="5"/>
      <c r="C83" s="29">
        <v>7</v>
      </c>
      <c r="D83" s="931">
        <f t="shared" si="14"/>
      </c>
      <c r="E83" s="932"/>
      <c r="F83" s="933"/>
      <c r="G83" s="393">
        <f t="shared" si="15"/>
      </c>
      <c r="H83" s="393">
        <f t="shared" si="5"/>
      </c>
      <c r="I83" s="393">
        <f t="shared" si="6"/>
      </c>
      <c r="J83" s="393">
        <f t="shared" si="7"/>
      </c>
      <c r="K83" s="393">
        <f t="shared" si="8"/>
      </c>
      <c r="L83" s="393">
        <f t="shared" si="9"/>
      </c>
      <c r="M83" s="393">
        <f t="shared" si="10"/>
      </c>
      <c r="N83" s="393">
        <f t="shared" si="11"/>
      </c>
      <c r="O83" s="323"/>
      <c r="P83" s="9"/>
      <c r="Q83" s="451" t="str">
        <f t="shared" si="12"/>
        <v>FInitial_1_</v>
      </c>
      <c r="R83" s="451" t="str">
        <f t="shared" si="13"/>
        <v>FInitial_2_</v>
      </c>
      <c r="S83" s="423"/>
      <c r="T83" s="453">
        <f>IF(COUNTIF(B_InitialSituation!$T$9:$T$153,$C83)=0,"",INDEX(B_InitialSituation!$D$9:$D$153,MATCH($C83,B_InitialSituation!$T$9:$T$153,0)))</f>
      </c>
      <c r="U83" s="423"/>
      <c r="V83" s="453">
        <f t="shared" si="16"/>
        <v>1</v>
      </c>
      <c r="W83" s="423"/>
      <c r="X83" s="430">
        <f>INDEX(CHOOSE($V83,C_MergerSplitTransfer!$H$9:$H$68,C_MergerSplitTransfer!$K$9:$K$68),MATCH(Q83,C_MergerSplitTransfer!$T$9:$T$68,0))</f>
        <v>0</v>
      </c>
      <c r="Y83" s="431">
        <f>IF(Y$75&lt;=CNTR_YearMergerSplit,"",INDEX(B_InitialSituation!G$9:G$153,MATCH($Q83,B_InitialSituation!$Q$9:$Q$153,0))*$X83)</f>
        <v>0</v>
      </c>
      <c r="Z83" s="431">
        <f>IF(Z$75&lt;=CNTR_YearMergerSplit,"",INDEX(B_InitialSituation!H$9:H$153,MATCH($Q83,B_InitialSituation!$Q$9:$Q$153,0))*$X83)</f>
        <v>0</v>
      </c>
      <c r="AA83" s="431">
        <f>IF(AA$75&lt;=CNTR_YearMergerSplit,"",INDEX(B_InitialSituation!I$9:I$153,MATCH($Q83,B_InitialSituation!$Q$9:$Q$153,0))*$X83)</f>
        <v>0</v>
      </c>
      <c r="AB83" s="431">
        <f>IF(AB$75&lt;=CNTR_YearMergerSplit,"",INDEX(B_InitialSituation!J$9:J$153,MATCH($Q83,B_InitialSituation!$Q$9:$Q$153,0))*$X83)</f>
        <v>0</v>
      </c>
      <c r="AC83" s="431">
        <f>IF(AC$75&lt;=CNTR_YearMergerSplit,"",INDEX(B_InitialSituation!K$9:K$153,MATCH($Q83,B_InitialSituation!$Q$9:$Q$153,0))*$X83)</f>
        <v>0</v>
      </c>
      <c r="AD83" s="431">
        <f>IF(AD$75&lt;=CNTR_YearMergerSplit,"",INDEX(B_InitialSituation!L$9:L$153,MATCH($Q83,B_InitialSituation!$Q$9:$Q$153,0))*$X83)</f>
        <v>0</v>
      </c>
      <c r="AE83" s="431">
        <f>IF(AE$75&lt;=CNTR_YearMergerSplit,"",INDEX(B_InitialSituation!M$9:M$153,MATCH($Q83,B_InitialSituation!$Q$9:$Q$153,0))*$X83)</f>
        <v>0</v>
      </c>
      <c r="AF83" s="431">
        <f>IF(AF$75&lt;=CNTR_YearMergerSplit,"",INDEX(B_InitialSituation!N$9:N$153,MATCH($Q83,B_InitialSituation!$Q$9:$Q$153,0))*$X83)</f>
        <v>0</v>
      </c>
      <c r="AG83" s="423"/>
      <c r="AH83" s="430">
        <f>INDEX(CHOOSE($V83,C_MergerSplitTransfer!$H$9:$H$68,C_MergerSplitTransfer!$K$9:$K$68),MATCH(R83,C_MergerSplitTransfer!$T$9:$T$68,0))</f>
        <v>0</v>
      </c>
      <c r="AI83" s="431">
        <f>IF(AI$75&lt;=CNTR_YearMergerSplit,"",INDEX(B_InitialSituation!G$9:G$153,MATCH($R83,B_InitialSituation!$Q$9:$Q$153,0))*$AH83)</f>
        <v>0</v>
      </c>
      <c r="AJ83" s="431">
        <f>IF(AJ$75&lt;=CNTR_YearMergerSplit,"",INDEX(B_InitialSituation!H$9:H$153,MATCH($R83,B_InitialSituation!$Q$9:$Q$153,0))*$AH83)</f>
        <v>0</v>
      </c>
      <c r="AK83" s="431">
        <f>IF(AK$75&lt;=CNTR_YearMergerSplit,"",INDEX(B_InitialSituation!I$9:I$153,MATCH($R83,B_InitialSituation!$Q$9:$Q$153,0))*$AH83)</f>
        <v>0</v>
      </c>
      <c r="AL83" s="431">
        <f>IF(AL$75&lt;=CNTR_YearMergerSplit,"",INDEX(B_InitialSituation!J$9:J$153,MATCH($R83,B_InitialSituation!$Q$9:$Q$153,0))*$AH83)</f>
        <v>0</v>
      </c>
      <c r="AM83" s="431">
        <f>IF(AM$75&lt;=CNTR_YearMergerSplit,"",INDEX(B_InitialSituation!K$9:K$153,MATCH($R83,B_InitialSituation!$Q$9:$Q$153,0))*$AH83)</f>
        <v>0</v>
      </c>
      <c r="AN83" s="431">
        <f>IF(AN$75&lt;=CNTR_YearMergerSplit,"",INDEX(B_InitialSituation!L$9:L$153,MATCH($R83,B_InitialSituation!$Q$9:$Q$153,0))*$AH83)</f>
        <v>0</v>
      </c>
      <c r="AO83" s="431">
        <f>IF(AO$75&lt;=CNTR_YearMergerSplit,"",INDEX(B_InitialSituation!M$9:M$153,MATCH($R83,B_InitialSituation!$Q$9:$Q$153,0))*$AH83)</f>
        <v>0</v>
      </c>
      <c r="AP83" s="431">
        <f>IF(AP$75&lt;=CNTR_YearMergerSplit,"",INDEX(B_InitialSituation!N$9:N$153,MATCH($R83,B_InitialSituation!$Q$9:$Q$153,0))*$AH83)</f>
        <v>0</v>
      </c>
      <c r="AQ83" s="423"/>
    </row>
    <row r="84" spans="1:43" s="522" customFormat="1" ht="12.75" customHeight="1">
      <c r="A84" s="4"/>
      <c r="B84" s="5"/>
      <c r="C84" s="29">
        <v>8</v>
      </c>
      <c r="D84" s="931">
        <f t="shared" si="14"/>
      </c>
      <c r="E84" s="932"/>
      <c r="F84" s="933"/>
      <c r="G84" s="393">
        <f t="shared" si="15"/>
      </c>
      <c r="H84" s="393">
        <f t="shared" si="5"/>
      </c>
      <c r="I84" s="393">
        <f t="shared" si="6"/>
      </c>
      <c r="J84" s="393">
        <f t="shared" si="7"/>
      </c>
      <c r="K84" s="393">
        <f t="shared" si="8"/>
      </c>
      <c r="L84" s="393">
        <f t="shared" si="9"/>
      </c>
      <c r="M84" s="393">
        <f t="shared" si="10"/>
      </c>
      <c r="N84" s="393">
        <f t="shared" si="11"/>
      </c>
      <c r="O84" s="323"/>
      <c r="P84" s="9"/>
      <c r="Q84" s="451" t="str">
        <f t="shared" si="12"/>
        <v>FInitial_1_</v>
      </c>
      <c r="R84" s="451" t="str">
        <f t="shared" si="13"/>
        <v>FInitial_2_</v>
      </c>
      <c r="S84" s="423"/>
      <c r="T84" s="453">
        <f>IF(COUNTIF(B_InitialSituation!$T$9:$T$153,$C84)=0,"",INDEX(B_InitialSituation!$D$9:$D$153,MATCH($C84,B_InitialSituation!$T$9:$T$153,0)))</f>
      </c>
      <c r="U84" s="423"/>
      <c r="V84" s="453">
        <f t="shared" si="16"/>
        <v>1</v>
      </c>
      <c r="W84" s="423"/>
      <c r="X84" s="430">
        <f>INDEX(CHOOSE($V84,C_MergerSplitTransfer!$H$9:$H$68,C_MergerSplitTransfer!$K$9:$K$68),MATCH(Q84,C_MergerSplitTransfer!$T$9:$T$68,0))</f>
        <v>0</v>
      </c>
      <c r="Y84" s="431">
        <f>IF(Y$75&lt;=CNTR_YearMergerSplit,"",INDEX(B_InitialSituation!G$9:G$153,MATCH($Q84,B_InitialSituation!$Q$9:$Q$153,0))*$X84)</f>
        <v>0</v>
      </c>
      <c r="Z84" s="431">
        <f>IF(Z$75&lt;=CNTR_YearMergerSplit,"",INDEX(B_InitialSituation!H$9:H$153,MATCH($Q84,B_InitialSituation!$Q$9:$Q$153,0))*$X84)</f>
        <v>0</v>
      </c>
      <c r="AA84" s="431">
        <f>IF(AA$75&lt;=CNTR_YearMergerSplit,"",INDEX(B_InitialSituation!I$9:I$153,MATCH($Q84,B_InitialSituation!$Q$9:$Q$153,0))*$X84)</f>
        <v>0</v>
      </c>
      <c r="AB84" s="431">
        <f>IF(AB$75&lt;=CNTR_YearMergerSplit,"",INDEX(B_InitialSituation!J$9:J$153,MATCH($Q84,B_InitialSituation!$Q$9:$Q$153,0))*$X84)</f>
        <v>0</v>
      </c>
      <c r="AC84" s="431">
        <f>IF(AC$75&lt;=CNTR_YearMergerSplit,"",INDEX(B_InitialSituation!K$9:K$153,MATCH($Q84,B_InitialSituation!$Q$9:$Q$153,0))*$X84)</f>
        <v>0</v>
      </c>
      <c r="AD84" s="431">
        <f>IF(AD$75&lt;=CNTR_YearMergerSplit,"",INDEX(B_InitialSituation!L$9:L$153,MATCH($Q84,B_InitialSituation!$Q$9:$Q$153,0))*$X84)</f>
        <v>0</v>
      </c>
      <c r="AE84" s="431">
        <f>IF(AE$75&lt;=CNTR_YearMergerSplit,"",INDEX(B_InitialSituation!M$9:M$153,MATCH($Q84,B_InitialSituation!$Q$9:$Q$153,0))*$X84)</f>
        <v>0</v>
      </c>
      <c r="AF84" s="431">
        <f>IF(AF$75&lt;=CNTR_YearMergerSplit,"",INDEX(B_InitialSituation!N$9:N$153,MATCH($Q84,B_InitialSituation!$Q$9:$Q$153,0))*$X84)</f>
        <v>0</v>
      </c>
      <c r="AG84" s="423"/>
      <c r="AH84" s="430">
        <f>INDEX(CHOOSE($V84,C_MergerSplitTransfer!$H$9:$H$68,C_MergerSplitTransfer!$K$9:$K$68),MATCH(R84,C_MergerSplitTransfer!$T$9:$T$68,0))</f>
        <v>0</v>
      </c>
      <c r="AI84" s="431">
        <f>IF(AI$75&lt;=CNTR_YearMergerSplit,"",INDEX(B_InitialSituation!G$9:G$153,MATCH($R84,B_InitialSituation!$Q$9:$Q$153,0))*$AH84)</f>
        <v>0</v>
      </c>
      <c r="AJ84" s="431">
        <f>IF(AJ$75&lt;=CNTR_YearMergerSplit,"",INDEX(B_InitialSituation!H$9:H$153,MATCH($R84,B_InitialSituation!$Q$9:$Q$153,0))*$AH84)</f>
        <v>0</v>
      </c>
      <c r="AK84" s="431">
        <f>IF(AK$75&lt;=CNTR_YearMergerSplit,"",INDEX(B_InitialSituation!I$9:I$153,MATCH($R84,B_InitialSituation!$Q$9:$Q$153,0))*$AH84)</f>
        <v>0</v>
      </c>
      <c r="AL84" s="431">
        <f>IF(AL$75&lt;=CNTR_YearMergerSplit,"",INDEX(B_InitialSituation!J$9:J$153,MATCH($R84,B_InitialSituation!$Q$9:$Q$153,0))*$AH84)</f>
        <v>0</v>
      </c>
      <c r="AM84" s="431">
        <f>IF(AM$75&lt;=CNTR_YearMergerSplit,"",INDEX(B_InitialSituation!K$9:K$153,MATCH($R84,B_InitialSituation!$Q$9:$Q$153,0))*$AH84)</f>
        <v>0</v>
      </c>
      <c r="AN84" s="431">
        <f>IF(AN$75&lt;=CNTR_YearMergerSplit,"",INDEX(B_InitialSituation!L$9:L$153,MATCH($R84,B_InitialSituation!$Q$9:$Q$153,0))*$AH84)</f>
        <v>0</v>
      </c>
      <c r="AO84" s="431">
        <f>IF(AO$75&lt;=CNTR_YearMergerSplit,"",INDEX(B_InitialSituation!M$9:M$153,MATCH($R84,B_InitialSituation!$Q$9:$Q$153,0))*$AH84)</f>
        <v>0</v>
      </c>
      <c r="AP84" s="431">
        <f>IF(AP$75&lt;=CNTR_YearMergerSplit,"",INDEX(B_InitialSituation!N$9:N$153,MATCH($R84,B_InitialSituation!$Q$9:$Q$153,0))*$AH84)</f>
        <v>0</v>
      </c>
      <c r="AQ84" s="423"/>
    </row>
    <row r="85" spans="1:43" s="522" customFormat="1" ht="12.75" customHeight="1">
      <c r="A85" s="4"/>
      <c r="B85" s="5"/>
      <c r="C85" s="29">
        <v>9</v>
      </c>
      <c r="D85" s="931">
        <f t="shared" si="14"/>
      </c>
      <c r="E85" s="932"/>
      <c r="F85" s="933"/>
      <c r="G85" s="393">
        <f t="shared" si="15"/>
      </c>
      <c r="H85" s="393">
        <f t="shared" si="5"/>
      </c>
      <c r="I85" s="393">
        <f t="shared" si="6"/>
      </c>
      <c r="J85" s="393">
        <f t="shared" si="7"/>
      </c>
      <c r="K85" s="393">
        <f t="shared" si="8"/>
      </c>
      <c r="L85" s="393">
        <f t="shared" si="9"/>
      </c>
      <c r="M85" s="393">
        <f t="shared" si="10"/>
      </c>
      <c r="N85" s="393">
        <f t="shared" si="11"/>
      </c>
      <c r="O85" s="323"/>
      <c r="P85" s="9"/>
      <c r="Q85" s="451" t="str">
        <f t="shared" si="12"/>
        <v>FInitial_1_</v>
      </c>
      <c r="R85" s="451" t="str">
        <f t="shared" si="13"/>
        <v>FInitial_2_</v>
      </c>
      <c r="S85" s="423"/>
      <c r="T85" s="453">
        <f>IF(COUNTIF(B_InitialSituation!$T$9:$T$153,$C85)=0,"",INDEX(B_InitialSituation!$D$9:$D$153,MATCH($C85,B_InitialSituation!$T$9:$T$153,0)))</f>
      </c>
      <c r="U85" s="423"/>
      <c r="V85" s="453">
        <f t="shared" si="16"/>
        <v>1</v>
      </c>
      <c r="W85" s="423"/>
      <c r="X85" s="430">
        <f>INDEX(CHOOSE($V85,C_MergerSplitTransfer!$H$9:$H$68,C_MergerSplitTransfer!$K$9:$K$68),MATCH(Q85,C_MergerSplitTransfer!$T$9:$T$68,0))</f>
        <v>0</v>
      </c>
      <c r="Y85" s="431">
        <f>IF(Y$75&lt;=CNTR_YearMergerSplit,"",INDEX(B_InitialSituation!G$9:G$153,MATCH($Q85,B_InitialSituation!$Q$9:$Q$153,0))*$X85)</f>
        <v>0</v>
      </c>
      <c r="Z85" s="431">
        <f>IF(Z$75&lt;=CNTR_YearMergerSplit,"",INDEX(B_InitialSituation!H$9:H$153,MATCH($Q85,B_InitialSituation!$Q$9:$Q$153,0))*$X85)</f>
        <v>0</v>
      </c>
      <c r="AA85" s="431">
        <f>IF(AA$75&lt;=CNTR_YearMergerSplit,"",INDEX(B_InitialSituation!I$9:I$153,MATCH($Q85,B_InitialSituation!$Q$9:$Q$153,0))*$X85)</f>
        <v>0</v>
      </c>
      <c r="AB85" s="431">
        <f>IF(AB$75&lt;=CNTR_YearMergerSplit,"",INDEX(B_InitialSituation!J$9:J$153,MATCH($Q85,B_InitialSituation!$Q$9:$Q$153,0))*$X85)</f>
        <v>0</v>
      </c>
      <c r="AC85" s="431">
        <f>IF(AC$75&lt;=CNTR_YearMergerSplit,"",INDEX(B_InitialSituation!K$9:K$153,MATCH($Q85,B_InitialSituation!$Q$9:$Q$153,0))*$X85)</f>
        <v>0</v>
      </c>
      <c r="AD85" s="431">
        <f>IF(AD$75&lt;=CNTR_YearMergerSplit,"",INDEX(B_InitialSituation!L$9:L$153,MATCH($Q85,B_InitialSituation!$Q$9:$Q$153,0))*$X85)</f>
        <v>0</v>
      </c>
      <c r="AE85" s="431">
        <f>IF(AE$75&lt;=CNTR_YearMergerSplit,"",INDEX(B_InitialSituation!M$9:M$153,MATCH($Q85,B_InitialSituation!$Q$9:$Q$153,0))*$X85)</f>
        <v>0</v>
      </c>
      <c r="AF85" s="431">
        <f>IF(AF$75&lt;=CNTR_YearMergerSplit,"",INDEX(B_InitialSituation!N$9:N$153,MATCH($Q85,B_InitialSituation!$Q$9:$Q$153,0))*$X85)</f>
        <v>0</v>
      </c>
      <c r="AG85" s="423"/>
      <c r="AH85" s="430">
        <f>INDEX(CHOOSE($V85,C_MergerSplitTransfer!$H$9:$H$68,C_MergerSplitTransfer!$K$9:$K$68),MATCH(R85,C_MergerSplitTransfer!$T$9:$T$68,0))</f>
        <v>0</v>
      </c>
      <c r="AI85" s="431">
        <f>IF(AI$75&lt;=CNTR_YearMergerSplit,"",INDEX(B_InitialSituation!G$9:G$153,MATCH($R85,B_InitialSituation!$Q$9:$Q$153,0))*$AH85)</f>
        <v>0</v>
      </c>
      <c r="AJ85" s="431">
        <f>IF(AJ$75&lt;=CNTR_YearMergerSplit,"",INDEX(B_InitialSituation!H$9:H$153,MATCH($R85,B_InitialSituation!$Q$9:$Q$153,0))*$AH85)</f>
        <v>0</v>
      </c>
      <c r="AK85" s="431">
        <f>IF(AK$75&lt;=CNTR_YearMergerSplit,"",INDEX(B_InitialSituation!I$9:I$153,MATCH($R85,B_InitialSituation!$Q$9:$Q$153,0))*$AH85)</f>
        <v>0</v>
      </c>
      <c r="AL85" s="431">
        <f>IF(AL$75&lt;=CNTR_YearMergerSplit,"",INDEX(B_InitialSituation!J$9:J$153,MATCH($R85,B_InitialSituation!$Q$9:$Q$153,0))*$AH85)</f>
        <v>0</v>
      </c>
      <c r="AM85" s="431">
        <f>IF(AM$75&lt;=CNTR_YearMergerSplit,"",INDEX(B_InitialSituation!K$9:K$153,MATCH($R85,B_InitialSituation!$Q$9:$Q$153,0))*$AH85)</f>
        <v>0</v>
      </c>
      <c r="AN85" s="431">
        <f>IF(AN$75&lt;=CNTR_YearMergerSplit,"",INDEX(B_InitialSituation!L$9:L$153,MATCH($R85,B_InitialSituation!$Q$9:$Q$153,0))*$AH85)</f>
        <v>0</v>
      </c>
      <c r="AO85" s="431">
        <f>IF(AO$75&lt;=CNTR_YearMergerSplit,"",INDEX(B_InitialSituation!M$9:M$153,MATCH($R85,B_InitialSituation!$Q$9:$Q$153,0))*$AH85)</f>
        <v>0</v>
      </c>
      <c r="AP85" s="431">
        <f>IF(AP$75&lt;=CNTR_YearMergerSplit,"",INDEX(B_InitialSituation!N$9:N$153,MATCH($R85,B_InitialSituation!$Q$9:$Q$153,0))*$AH85)</f>
        <v>0</v>
      </c>
      <c r="AQ85" s="423"/>
    </row>
    <row r="86" spans="1:43" s="522" customFormat="1" ht="12.75" customHeight="1" thickBot="1">
      <c r="A86" s="4"/>
      <c r="B86" s="5"/>
      <c r="C86" s="25">
        <v>10</v>
      </c>
      <c r="D86" s="962">
        <f t="shared" si="14"/>
      </c>
      <c r="E86" s="963"/>
      <c r="F86" s="964"/>
      <c r="G86" s="394">
        <f t="shared" si="15"/>
      </c>
      <c r="H86" s="394">
        <f t="shared" si="5"/>
      </c>
      <c r="I86" s="394">
        <f t="shared" si="6"/>
      </c>
      <c r="J86" s="394">
        <f t="shared" si="7"/>
      </c>
      <c r="K86" s="394">
        <f t="shared" si="8"/>
      </c>
      <c r="L86" s="394">
        <f t="shared" si="9"/>
      </c>
      <c r="M86" s="394">
        <f t="shared" si="10"/>
      </c>
      <c r="N86" s="394">
        <f t="shared" si="11"/>
      </c>
      <c r="O86" s="323"/>
      <c r="P86" s="9"/>
      <c r="Q86" s="451" t="str">
        <f t="shared" si="12"/>
        <v>FInitial_1_</v>
      </c>
      <c r="R86" s="451" t="str">
        <f t="shared" si="13"/>
        <v>FInitial_2_</v>
      </c>
      <c r="S86" s="423"/>
      <c r="T86" s="454">
        <f>IF(COUNTIF(B_InitialSituation!$T$9:$T$153,$C86)=0,"",INDEX(B_InitialSituation!$D$9:$D$153,MATCH($C86,B_InitialSituation!$T$9:$T$153,0)))</f>
      </c>
      <c r="U86" s="423"/>
      <c r="V86" s="453">
        <f t="shared" si="16"/>
        <v>1</v>
      </c>
      <c r="W86" s="423"/>
      <c r="X86" s="432">
        <f>INDEX(CHOOSE($V86,C_MergerSplitTransfer!$H$9:$H$68,C_MergerSplitTransfer!$K$9:$K$68),MATCH(Q86,C_MergerSplitTransfer!$T$9:$T$68,0))</f>
        <v>0</v>
      </c>
      <c r="Y86" s="433">
        <f>IF(Y$75&lt;=CNTR_YearMergerSplit,"",INDEX(B_InitialSituation!G$9:G$153,MATCH($Q86,B_InitialSituation!$Q$9:$Q$153,0))*$X86)</f>
        <v>0</v>
      </c>
      <c r="Z86" s="433">
        <f>IF(Z$75&lt;=CNTR_YearMergerSplit,"",INDEX(B_InitialSituation!H$9:H$153,MATCH($Q86,B_InitialSituation!$Q$9:$Q$153,0))*$X86)</f>
        <v>0</v>
      </c>
      <c r="AA86" s="433">
        <f>IF(AA$75&lt;=CNTR_YearMergerSplit,"",INDEX(B_InitialSituation!I$9:I$153,MATCH($Q86,B_InitialSituation!$Q$9:$Q$153,0))*$X86)</f>
        <v>0</v>
      </c>
      <c r="AB86" s="433">
        <f>IF(AB$75&lt;=CNTR_YearMergerSplit,"",INDEX(B_InitialSituation!J$9:J$153,MATCH($Q86,B_InitialSituation!$Q$9:$Q$153,0))*$X86)</f>
        <v>0</v>
      </c>
      <c r="AC86" s="433">
        <f>IF(AC$75&lt;=CNTR_YearMergerSplit,"",INDEX(B_InitialSituation!K$9:K$153,MATCH($Q86,B_InitialSituation!$Q$9:$Q$153,0))*$X86)</f>
        <v>0</v>
      </c>
      <c r="AD86" s="433">
        <f>IF(AD$75&lt;=CNTR_YearMergerSplit,"",INDEX(B_InitialSituation!L$9:L$153,MATCH($Q86,B_InitialSituation!$Q$9:$Q$153,0))*$X86)</f>
        <v>0</v>
      </c>
      <c r="AE86" s="433">
        <f>IF(AE$75&lt;=CNTR_YearMergerSplit,"",INDEX(B_InitialSituation!M$9:M$153,MATCH($Q86,B_InitialSituation!$Q$9:$Q$153,0))*$X86)</f>
        <v>0</v>
      </c>
      <c r="AF86" s="433">
        <f>IF(AF$75&lt;=CNTR_YearMergerSplit,"",INDEX(B_InitialSituation!N$9:N$153,MATCH($Q86,B_InitialSituation!$Q$9:$Q$153,0))*$X86)</f>
        <v>0</v>
      </c>
      <c r="AG86" s="423"/>
      <c r="AH86" s="432">
        <f>INDEX(CHOOSE($V86,C_MergerSplitTransfer!$H$9:$H$68,C_MergerSplitTransfer!$K$9:$K$68),MATCH(R86,C_MergerSplitTransfer!$T$9:$T$68,0))</f>
        <v>0</v>
      </c>
      <c r="AI86" s="433">
        <f>IF(AI$75&lt;=CNTR_YearMergerSplit,"",INDEX(B_InitialSituation!G$9:G$153,MATCH($R86,B_InitialSituation!$Q$9:$Q$153,0))*$AH86)</f>
        <v>0</v>
      </c>
      <c r="AJ86" s="433">
        <f>IF(AJ$75&lt;=CNTR_YearMergerSplit,"",INDEX(B_InitialSituation!H$9:H$153,MATCH($R86,B_InitialSituation!$Q$9:$Q$153,0))*$AH86)</f>
        <v>0</v>
      </c>
      <c r="AK86" s="433">
        <f>IF(AK$75&lt;=CNTR_YearMergerSplit,"",INDEX(B_InitialSituation!I$9:I$153,MATCH($R86,B_InitialSituation!$Q$9:$Q$153,0))*$AH86)</f>
        <v>0</v>
      </c>
      <c r="AL86" s="433">
        <f>IF(AL$75&lt;=CNTR_YearMergerSplit,"",INDEX(B_InitialSituation!J$9:J$153,MATCH($R86,B_InitialSituation!$Q$9:$Q$153,0))*$AH86)</f>
        <v>0</v>
      </c>
      <c r="AM86" s="433">
        <f>IF(AM$75&lt;=CNTR_YearMergerSplit,"",INDEX(B_InitialSituation!K$9:K$153,MATCH($R86,B_InitialSituation!$Q$9:$Q$153,0))*$AH86)</f>
        <v>0</v>
      </c>
      <c r="AN86" s="433">
        <f>IF(AN$75&lt;=CNTR_YearMergerSplit,"",INDEX(B_InitialSituation!L$9:L$153,MATCH($R86,B_InitialSituation!$Q$9:$Q$153,0))*$AH86)</f>
        <v>0</v>
      </c>
      <c r="AO86" s="433">
        <f>IF(AO$75&lt;=CNTR_YearMergerSplit,"",INDEX(B_InitialSituation!M$9:M$153,MATCH($R86,B_InitialSituation!$Q$9:$Q$153,0))*$AH86)</f>
        <v>0</v>
      </c>
      <c r="AP86" s="433">
        <f>IF(AP$75&lt;=CNTR_YearMergerSplit,"",INDEX(B_InitialSituation!N$9:N$153,MATCH($R86,B_InitialSituation!$Q$9:$Q$153,0))*$AH86)</f>
        <v>0</v>
      </c>
      <c r="AQ86" s="423"/>
    </row>
    <row r="87" spans="1:43" s="522" customFormat="1" ht="38.25" customHeight="1">
      <c r="A87" s="4"/>
      <c r="B87" s="5"/>
      <c r="C87" s="29">
        <v>11</v>
      </c>
      <c r="D87" s="937" t="str">
        <f aca="true" t="shared" si="17" ref="D87:D92">INDEX(EUconst_FallBackListNames,C87-10)</f>
        <v>Sous-installation avec référentiel de chaleur, CL (risque de fuite de carbone)</v>
      </c>
      <c r="E87" s="938"/>
      <c r="F87" s="939"/>
      <c r="G87" s="392">
        <f t="shared" si="15"/>
      </c>
      <c r="H87" s="392">
        <f t="shared" si="5"/>
      </c>
      <c r="I87" s="392">
        <f t="shared" si="6"/>
      </c>
      <c r="J87" s="392">
        <f t="shared" si="7"/>
      </c>
      <c r="K87" s="392">
        <f t="shared" si="8"/>
      </c>
      <c r="L87" s="392">
        <f t="shared" si="9"/>
      </c>
      <c r="M87" s="392">
        <f t="shared" si="10"/>
      </c>
      <c r="N87" s="392">
        <f t="shared" si="11"/>
      </c>
      <c r="O87" s="323"/>
      <c r="P87" s="9"/>
      <c r="Q87" s="451" t="str">
        <f t="shared" si="12"/>
        <v>FInitial_1_Sous-installation avec référentiel de chaleur, CL (risque de fuite de carbone)</v>
      </c>
      <c r="R87" s="451" t="str">
        <f t="shared" si="13"/>
        <v>FInitial_2_Sous-installation avec référentiel de chaleur, CL (risque de fuite de carbone)</v>
      </c>
      <c r="S87" s="423"/>
      <c r="T87" s="423"/>
      <c r="U87" s="423"/>
      <c r="V87" s="453">
        <f t="shared" si="16"/>
        <v>1</v>
      </c>
      <c r="W87" s="423"/>
      <c r="X87" s="428">
        <f>INDEX(CHOOSE($V87,C_MergerSplitTransfer!$H$9:$H$68,C_MergerSplitTransfer!$K$9:$K$68),MATCH(Q87,C_MergerSplitTransfer!$T$9:$T$68,0))</f>
        <v>0</v>
      </c>
      <c r="Y87" s="429">
        <f>IF(Y$75&lt;=CNTR_YearMergerSplit,"",INDEX(B_InitialSituation!G$9:G$153,MATCH($Q87,B_InitialSituation!$Q$9:$Q$153,0))*$X87)</f>
        <v>0</v>
      </c>
      <c r="Z87" s="429">
        <f>IF(Z$75&lt;=CNTR_YearMergerSplit,"",INDEX(B_InitialSituation!H$9:H$153,MATCH($Q87,B_InitialSituation!$Q$9:$Q$153,0))*$X87)</f>
        <v>0</v>
      </c>
      <c r="AA87" s="429">
        <f>IF(AA$75&lt;=CNTR_YearMergerSplit,"",INDEX(B_InitialSituation!I$9:I$153,MATCH($Q87,B_InitialSituation!$Q$9:$Q$153,0))*$X87)</f>
        <v>0</v>
      </c>
      <c r="AB87" s="429">
        <f>IF(AB$75&lt;=CNTR_YearMergerSplit,"",INDEX(B_InitialSituation!J$9:J$153,MATCH($Q87,B_InitialSituation!$Q$9:$Q$153,0))*$X87)</f>
        <v>0</v>
      </c>
      <c r="AC87" s="429">
        <f>IF(AC$75&lt;=CNTR_YearMergerSplit,"",INDEX(B_InitialSituation!K$9:K$153,MATCH($Q87,B_InitialSituation!$Q$9:$Q$153,0))*$X87)</f>
        <v>0</v>
      </c>
      <c r="AD87" s="429">
        <f>IF(AD$75&lt;=CNTR_YearMergerSplit,"",INDEX(B_InitialSituation!L$9:L$153,MATCH($Q87,B_InitialSituation!$Q$9:$Q$153,0))*$X87)</f>
        <v>0</v>
      </c>
      <c r="AE87" s="429">
        <f>IF(AE$75&lt;=CNTR_YearMergerSplit,"",INDEX(B_InitialSituation!M$9:M$153,MATCH($Q87,B_InitialSituation!$Q$9:$Q$153,0))*$X87)</f>
        <v>0</v>
      </c>
      <c r="AF87" s="429">
        <f>IF(AF$75&lt;=CNTR_YearMergerSplit,"",INDEX(B_InitialSituation!N$9:N$153,MATCH($Q87,B_InitialSituation!$Q$9:$Q$153,0))*$X87)</f>
        <v>0</v>
      </c>
      <c r="AG87" s="423"/>
      <c r="AH87" s="428">
        <f>INDEX(CHOOSE($V87,C_MergerSplitTransfer!$H$9:$H$68,C_MergerSplitTransfer!$K$9:$K$68),MATCH(R87,C_MergerSplitTransfer!$T$9:$T$68,0))</f>
        <v>0</v>
      </c>
      <c r="AI87" s="429">
        <f>IF(AI$75&lt;=CNTR_YearMergerSplit,"",INDEX(B_InitialSituation!G$9:G$153,MATCH($R87,B_InitialSituation!$Q$9:$Q$153,0))*$AH87)</f>
        <v>0</v>
      </c>
      <c r="AJ87" s="429">
        <f>IF(AJ$75&lt;=CNTR_YearMergerSplit,"",INDEX(B_InitialSituation!H$9:H$153,MATCH($R87,B_InitialSituation!$Q$9:$Q$153,0))*$AH87)</f>
        <v>0</v>
      </c>
      <c r="AK87" s="429">
        <f>IF(AK$75&lt;=CNTR_YearMergerSplit,"",INDEX(B_InitialSituation!I$9:I$153,MATCH($R87,B_InitialSituation!$Q$9:$Q$153,0))*$AH87)</f>
        <v>0</v>
      </c>
      <c r="AL87" s="429">
        <f>IF(AL$75&lt;=CNTR_YearMergerSplit,"",INDEX(B_InitialSituation!J$9:J$153,MATCH($R87,B_InitialSituation!$Q$9:$Q$153,0))*$AH87)</f>
        <v>0</v>
      </c>
      <c r="AM87" s="429">
        <f>IF(AM$75&lt;=CNTR_YearMergerSplit,"",INDEX(B_InitialSituation!K$9:K$153,MATCH($R87,B_InitialSituation!$Q$9:$Q$153,0))*$AH87)</f>
        <v>0</v>
      </c>
      <c r="AN87" s="429">
        <f>IF(AN$75&lt;=CNTR_YearMergerSplit,"",INDEX(B_InitialSituation!L$9:L$153,MATCH($R87,B_InitialSituation!$Q$9:$Q$153,0))*$AH87)</f>
        <v>0</v>
      </c>
      <c r="AO87" s="429">
        <f>IF(AO$75&lt;=CNTR_YearMergerSplit,"",INDEX(B_InitialSituation!M$9:M$153,MATCH($R87,B_InitialSituation!$Q$9:$Q$153,0))*$AH87)</f>
        <v>0</v>
      </c>
      <c r="AP87" s="429">
        <f>IF(AP$75&lt;=CNTR_YearMergerSplit,"",INDEX(B_InitialSituation!N$9:N$153,MATCH($R87,B_InitialSituation!$Q$9:$Q$153,0))*$AH87)</f>
        <v>0</v>
      </c>
      <c r="AQ87" s="423"/>
    </row>
    <row r="88" spans="1:43" s="522" customFormat="1" ht="38.25" customHeight="1">
      <c r="A88" s="4"/>
      <c r="B88" s="5"/>
      <c r="C88" s="29">
        <v>12</v>
      </c>
      <c r="D88" s="940" t="str">
        <f t="shared" si="17"/>
        <v>Sous-installation avec référentiel de chaleur, non-CL (sans risque de fuite de carbone)</v>
      </c>
      <c r="E88" s="941"/>
      <c r="F88" s="942"/>
      <c r="G88" s="393">
        <f t="shared" si="15"/>
      </c>
      <c r="H88" s="393">
        <f t="shared" si="5"/>
      </c>
      <c r="I88" s="393">
        <f t="shared" si="6"/>
      </c>
      <c r="J88" s="393">
        <f t="shared" si="7"/>
      </c>
      <c r="K88" s="393">
        <f t="shared" si="8"/>
      </c>
      <c r="L88" s="393">
        <f t="shared" si="9"/>
      </c>
      <c r="M88" s="393">
        <f t="shared" si="10"/>
      </c>
      <c r="N88" s="393">
        <f t="shared" si="11"/>
      </c>
      <c r="O88" s="323"/>
      <c r="P88" s="9"/>
      <c r="Q88" s="451" t="str">
        <f t="shared" si="12"/>
        <v>FInitial_1_Sous-installation avec référentiel de chaleur, non-CL (sans risque de fuite de carbone)</v>
      </c>
      <c r="R88" s="451" t="str">
        <f t="shared" si="13"/>
        <v>FInitial_2_Sous-installation avec référentiel de chaleur, non-CL (sans risque de fuite de carbone)</v>
      </c>
      <c r="S88" s="423"/>
      <c r="T88" s="423"/>
      <c r="U88" s="423"/>
      <c r="V88" s="453">
        <f t="shared" si="16"/>
        <v>1</v>
      </c>
      <c r="W88" s="423"/>
      <c r="X88" s="430">
        <f>INDEX(CHOOSE($V88,C_MergerSplitTransfer!$H$9:$H$68,C_MergerSplitTransfer!$K$9:$K$68),MATCH(Q88,C_MergerSplitTransfer!$T$9:$T$68,0))</f>
        <v>0</v>
      </c>
      <c r="Y88" s="431">
        <f>IF(Y$75&lt;=CNTR_YearMergerSplit,"",INDEX(B_InitialSituation!G$9:G$153,MATCH($Q88,B_InitialSituation!$Q$9:$Q$153,0))*$X88)</f>
        <v>0</v>
      </c>
      <c r="Z88" s="431">
        <f>IF(Z$75&lt;=CNTR_YearMergerSplit,"",INDEX(B_InitialSituation!H$9:H$153,MATCH($Q88,B_InitialSituation!$Q$9:$Q$153,0))*$X88)</f>
        <v>0</v>
      </c>
      <c r="AA88" s="431">
        <f>IF(AA$75&lt;=CNTR_YearMergerSplit,"",INDEX(B_InitialSituation!I$9:I$153,MATCH($Q88,B_InitialSituation!$Q$9:$Q$153,0))*$X88)</f>
        <v>0</v>
      </c>
      <c r="AB88" s="431">
        <f>IF(AB$75&lt;=CNTR_YearMergerSplit,"",INDEX(B_InitialSituation!J$9:J$153,MATCH($Q88,B_InitialSituation!$Q$9:$Q$153,0))*$X88)</f>
        <v>0</v>
      </c>
      <c r="AC88" s="431">
        <f>IF(AC$75&lt;=CNTR_YearMergerSplit,"",INDEX(B_InitialSituation!K$9:K$153,MATCH($Q88,B_InitialSituation!$Q$9:$Q$153,0))*$X88)</f>
        <v>0</v>
      </c>
      <c r="AD88" s="431">
        <f>IF(AD$75&lt;=CNTR_YearMergerSplit,"",INDEX(B_InitialSituation!L$9:L$153,MATCH($Q88,B_InitialSituation!$Q$9:$Q$153,0))*$X88)</f>
        <v>0</v>
      </c>
      <c r="AE88" s="431">
        <f>IF(AE$75&lt;=CNTR_YearMergerSplit,"",INDEX(B_InitialSituation!M$9:M$153,MATCH($Q88,B_InitialSituation!$Q$9:$Q$153,0))*$X88)</f>
        <v>0</v>
      </c>
      <c r="AF88" s="431">
        <f>IF(AF$75&lt;=CNTR_YearMergerSplit,"",INDEX(B_InitialSituation!N$9:N$153,MATCH($Q88,B_InitialSituation!$Q$9:$Q$153,0))*$X88)</f>
        <v>0</v>
      </c>
      <c r="AG88" s="423"/>
      <c r="AH88" s="430">
        <f>INDEX(CHOOSE($V88,C_MergerSplitTransfer!$H$9:$H$68,C_MergerSplitTransfer!$K$9:$K$68),MATCH(R88,C_MergerSplitTransfer!$T$9:$T$68,0))</f>
        <v>0</v>
      </c>
      <c r="AI88" s="431">
        <f>IF(AI$75&lt;=CNTR_YearMergerSplit,"",INDEX(B_InitialSituation!G$9:G$153,MATCH($R88,B_InitialSituation!$Q$9:$Q$153,0))*$AH88)</f>
        <v>0</v>
      </c>
      <c r="AJ88" s="431">
        <f>IF(AJ$75&lt;=CNTR_YearMergerSplit,"",INDEX(B_InitialSituation!H$9:H$153,MATCH($R88,B_InitialSituation!$Q$9:$Q$153,0))*$AH88)</f>
        <v>0</v>
      </c>
      <c r="AK88" s="431">
        <f>IF(AK$75&lt;=CNTR_YearMergerSplit,"",INDEX(B_InitialSituation!I$9:I$153,MATCH($R88,B_InitialSituation!$Q$9:$Q$153,0))*$AH88)</f>
        <v>0</v>
      </c>
      <c r="AL88" s="431">
        <f>IF(AL$75&lt;=CNTR_YearMergerSplit,"",INDEX(B_InitialSituation!J$9:J$153,MATCH($R88,B_InitialSituation!$Q$9:$Q$153,0))*$AH88)</f>
        <v>0</v>
      </c>
      <c r="AM88" s="431">
        <f>IF(AM$75&lt;=CNTR_YearMergerSplit,"",INDEX(B_InitialSituation!K$9:K$153,MATCH($R88,B_InitialSituation!$Q$9:$Q$153,0))*$AH88)</f>
        <v>0</v>
      </c>
      <c r="AN88" s="431">
        <f>IF(AN$75&lt;=CNTR_YearMergerSplit,"",INDEX(B_InitialSituation!L$9:L$153,MATCH($R88,B_InitialSituation!$Q$9:$Q$153,0))*$AH88)</f>
        <v>0</v>
      </c>
      <c r="AO88" s="431">
        <f>IF(AO$75&lt;=CNTR_YearMergerSplit,"",INDEX(B_InitialSituation!M$9:M$153,MATCH($R88,B_InitialSituation!$Q$9:$Q$153,0))*$AH88)</f>
        <v>0</v>
      </c>
      <c r="AP88" s="431">
        <f>IF(AP$75&lt;=CNTR_YearMergerSplit,"",INDEX(B_InitialSituation!N$9:N$153,MATCH($R88,B_InitialSituation!$Q$9:$Q$153,0))*$AH88)</f>
        <v>0</v>
      </c>
      <c r="AQ88" s="423"/>
    </row>
    <row r="89" spans="1:43" s="522" customFormat="1" ht="25.5" customHeight="1">
      <c r="A89" s="4"/>
      <c r="B89" s="5"/>
      <c r="C89" s="29">
        <v>13</v>
      </c>
      <c r="D89" s="940" t="str">
        <f t="shared" si="17"/>
        <v>Sous-installation avec référentiel de combustibles, CL</v>
      </c>
      <c r="E89" s="941"/>
      <c r="F89" s="942"/>
      <c r="G89" s="393">
        <f t="shared" si="15"/>
      </c>
      <c r="H89" s="393">
        <f t="shared" si="5"/>
      </c>
      <c r="I89" s="393">
        <f t="shared" si="6"/>
      </c>
      <c r="J89" s="393">
        <f t="shared" si="7"/>
      </c>
      <c r="K89" s="393">
        <f t="shared" si="8"/>
      </c>
      <c r="L89" s="393">
        <f t="shared" si="9"/>
      </c>
      <c r="M89" s="393">
        <f t="shared" si="10"/>
      </c>
      <c r="N89" s="393">
        <f t="shared" si="11"/>
      </c>
      <c r="O89" s="323"/>
      <c r="P89" s="9"/>
      <c r="Q89" s="451" t="str">
        <f t="shared" si="12"/>
        <v>FInitial_1_Sous-installation avec référentiel de combustibles, CL</v>
      </c>
      <c r="R89" s="451" t="str">
        <f t="shared" si="13"/>
        <v>FInitial_2_Sous-installation avec référentiel de combustibles, CL</v>
      </c>
      <c r="S89" s="423"/>
      <c r="T89" s="423"/>
      <c r="U89" s="423"/>
      <c r="V89" s="453">
        <f t="shared" si="16"/>
        <v>1</v>
      </c>
      <c r="W89" s="423"/>
      <c r="X89" s="430">
        <f>INDEX(CHOOSE($V89,C_MergerSplitTransfer!$H$9:$H$68,C_MergerSplitTransfer!$K$9:$K$68),MATCH(Q89,C_MergerSplitTransfer!$T$9:$T$68,0))</f>
        <v>0</v>
      </c>
      <c r="Y89" s="431">
        <f>IF(Y$75&lt;=CNTR_YearMergerSplit,"",INDEX(B_InitialSituation!G$9:G$153,MATCH($Q89,B_InitialSituation!$Q$9:$Q$153,0))*$X89)</f>
        <v>0</v>
      </c>
      <c r="Z89" s="431">
        <f>IF(Z$75&lt;=CNTR_YearMergerSplit,"",INDEX(B_InitialSituation!H$9:H$153,MATCH($Q89,B_InitialSituation!$Q$9:$Q$153,0))*$X89)</f>
        <v>0</v>
      </c>
      <c r="AA89" s="431">
        <f>IF(AA$75&lt;=CNTR_YearMergerSplit,"",INDEX(B_InitialSituation!I$9:I$153,MATCH($Q89,B_InitialSituation!$Q$9:$Q$153,0))*$X89)</f>
        <v>0</v>
      </c>
      <c r="AB89" s="431">
        <f>IF(AB$75&lt;=CNTR_YearMergerSplit,"",INDEX(B_InitialSituation!J$9:J$153,MATCH($Q89,B_InitialSituation!$Q$9:$Q$153,0))*$X89)</f>
        <v>0</v>
      </c>
      <c r="AC89" s="431">
        <f>IF(AC$75&lt;=CNTR_YearMergerSplit,"",INDEX(B_InitialSituation!K$9:K$153,MATCH($Q89,B_InitialSituation!$Q$9:$Q$153,0))*$X89)</f>
        <v>0</v>
      </c>
      <c r="AD89" s="431">
        <f>IF(AD$75&lt;=CNTR_YearMergerSplit,"",INDEX(B_InitialSituation!L$9:L$153,MATCH($Q89,B_InitialSituation!$Q$9:$Q$153,0))*$X89)</f>
        <v>0</v>
      </c>
      <c r="AE89" s="431">
        <f>IF(AE$75&lt;=CNTR_YearMergerSplit,"",INDEX(B_InitialSituation!M$9:M$153,MATCH($Q89,B_InitialSituation!$Q$9:$Q$153,0))*$X89)</f>
        <v>0</v>
      </c>
      <c r="AF89" s="431">
        <f>IF(AF$75&lt;=CNTR_YearMergerSplit,"",INDEX(B_InitialSituation!N$9:N$153,MATCH($Q89,B_InitialSituation!$Q$9:$Q$153,0))*$X89)</f>
        <v>0</v>
      </c>
      <c r="AG89" s="423"/>
      <c r="AH89" s="430">
        <f>INDEX(CHOOSE($V89,C_MergerSplitTransfer!$H$9:$H$68,C_MergerSplitTransfer!$K$9:$K$68),MATCH(R89,C_MergerSplitTransfer!$T$9:$T$68,0))</f>
        <v>0</v>
      </c>
      <c r="AI89" s="431">
        <f>IF(AI$75&lt;=CNTR_YearMergerSplit,"",INDEX(B_InitialSituation!G$9:G$153,MATCH($R89,B_InitialSituation!$Q$9:$Q$153,0))*$AH89)</f>
        <v>0</v>
      </c>
      <c r="AJ89" s="431">
        <f>IF(AJ$75&lt;=CNTR_YearMergerSplit,"",INDEX(B_InitialSituation!H$9:H$153,MATCH($R89,B_InitialSituation!$Q$9:$Q$153,0))*$AH89)</f>
        <v>0</v>
      </c>
      <c r="AK89" s="431">
        <f>IF(AK$75&lt;=CNTR_YearMergerSplit,"",INDEX(B_InitialSituation!I$9:I$153,MATCH($R89,B_InitialSituation!$Q$9:$Q$153,0))*$AH89)</f>
        <v>0</v>
      </c>
      <c r="AL89" s="431">
        <f>IF(AL$75&lt;=CNTR_YearMergerSplit,"",INDEX(B_InitialSituation!J$9:J$153,MATCH($R89,B_InitialSituation!$Q$9:$Q$153,0))*$AH89)</f>
        <v>0</v>
      </c>
      <c r="AM89" s="431">
        <f>IF(AM$75&lt;=CNTR_YearMergerSplit,"",INDEX(B_InitialSituation!K$9:K$153,MATCH($R89,B_InitialSituation!$Q$9:$Q$153,0))*$AH89)</f>
        <v>0</v>
      </c>
      <c r="AN89" s="431">
        <f>IF(AN$75&lt;=CNTR_YearMergerSplit,"",INDEX(B_InitialSituation!L$9:L$153,MATCH($R89,B_InitialSituation!$Q$9:$Q$153,0))*$AH89)</f>
        <v>0</v>
      </c>
      <c r="AO89" s="431">
        <f>IF(AO$75&lt;=CNTR_YearMergerSplit,"",INDEX(B_InitialSituation!M$9:M$153,MATCH($R89,B_InitialSituation!$Q$9:$Q$153,0))*$AH89)</f>
        <v>0</v>
      </c>
      <c r="AP89" s="431">
        <f>IF(AP$75&lt;=CNTR_YearMergerSplit,"",INDEX(B_InitialSituation!N$9:N$153,MATCH($R89,B_InitialSituation!$Q$9:$Q$153,0))*$AH89)</f>
        <v>0</v>
      </c>
      <c r="AQ89" s="423"/>
    </row>
    <row r="90" spans="1:43" s="522" customFormat="1" ht="25.5" customHeight="1">
      <c r="A90" s="4"/>
      <c r="B90" s="5"/>
      <c r="C90" s="29">
        <v>14</v>
      </c>
      <c r="D90" s="940" t="str">
        <f t="shared" si="17"/>
        <v>Sous-installation avec référentiel de combustibles, non-CL</v>
      </c>
      <c r="E90" s="941"/>
      <c r="F90" s="942"/>
      <c r="G90" s="393">
        <f t="shared" si="15"/>
      </c>
      <c r="H90" s="393">
        <f t="shared" si="5"/>
      </c>
      <c r="I90" s="393">
        <f t="shared" si="6"/>
      </c>
      <c r="J90" s="393">
        <f t="shared" si="7"/>
      </c>
      <c r="K90" s="393">
        <f t="shared" si="8"/>
      </c>
      <c r="L90" s="393">
        <f t="shared" si="9"/>
      </c>
      <c r="M90" s="393">
        <f t="shared" si="10"/>
      </c>
      <c r="N90" s="393">
        <f t="shared" si="11"/>
      </c>
      <c r="O90" s="323"/>
      <c r="P90" s="9"/>
      <c r="Q90" s="451" t="str">
        <f t="shared" si="12"/>
        <v>FInitial_1_Sous-installation avec référentiel de combustibles, non-CL</v>
      </c>
      <c r="R90" s="451" t="str">
        <f t="shared" si="13"/>
        <v>FInitial_2_Sous-installation avec référentiel de combustibles, non-CL</v>
      </c>
      <c r="S90" s="423"/>
      <c r="T90" s="423"/>
      <c r="U90" s="423"/>
      <c r="V90" s="453">
        <f t="shared" si="16"/>
        <v>1</v>
      </c>
      <c r="W90" s="423"/>
      <c r="X90" s="430">
        <f>INDEX(CHOOSE($V90,C_MergerSplitTransfer!$H$9:$H$68,C_MergerSplitTransfer!$K$9:$K$68),MATCH(Q90,C_MergerSplitTransfer!$T$9:$T$68,0))</f>
        <v>0</v>
      </c>
      <c r="Y90" s="431">
        <f>IF(Y$75&lt;=CNTR_YearMergerSplit,"",INDEX(B_InitialSituation!G$9:G$153,MATCH($Q90,B_InitialSituation!$Q$9:$Q$153,0))*$X90)</f>
        <v>0</v>
      </c>
      <c r="Z90" s="431">
        <f>IF(Z$75&lt;=CNTR_YearMergerSplit,"",INDEX(B_InitialSituation!H$9:H$153,MATCH($Q90,B_InitialSituation!$Q$9:$Q$153,0))*$X90)</f>
        <v>0</v>
      </c>
      <c r="AA90" s="431">
        <f>IF(AA$75&lt;=CNTR_YearMergerSplit,"",INDEX(B_InitialSituation!I$9:I$153,MATCH($Q90,B_InitialSituation!$Q$9:$Q$153,0))*$X90)</f>
        <v>0</v>
      </c>
      <c r="AB90" s="431">
        <f>IF(AB$75&lt;=CNTR_YearMergerSplit,"",INDEX(B_InitialSituation!J$9:J$153,MATCH($Q90,B_InitialSituation!$Q$9:$Q$153,0))*$X90)</f>
        <v>0</v>
      </c>
      <c r="AC90" s="431">
        <f>IF(AC$75&lt;=CNTR_YearMergerSplit,"",INDEX(B_InitialSituation!K$9:K$153,MATCH($Q90,B_InitialSituation!$Q$9:$Q$153,0))*$X90)</f>
        <v>0</v>
      </c>
      <c r="AD90" s="431">
        <f>IF(AD$75&lt;=CNTR_YearMergerSplit,"",INDEX(B_InitialSituation!L$9:L$153,MATCH($Q90,B_InitialSituation!$Q$9:$Q$153,0))*$X90)</f>
        <v>0</v>
      </c>
      <c r="AE90" s="431">
        <f>IF(AE$75&lt;=CNTR_YearMergerSplit,"",INDEX(B_InitialSituation!M$9:M$153,MATCH($Q90,B_InitialSituation!$Q$9:$Q$153,0))*$X90)</f>
        <v>0</v>
      </c>
      <c r="AF90" s="431">
        <f>IF(AF$75&lt;=CNTR_YearMergerSplit,"",INDEX(B_InitialSituation!N$9:N$153,MATCH($Q90,B_InitialSituation!$Q$9:$Q$153,0))*$X90)</f>
        <v>0</v>
      </c>
      <c r="AG90" s="423"/>
      <c r="AH90" s="430">
        <f>INDEX(CHOOSE($V90,C_MergerSplitTransfer!$H$9:$H$68,C_MergerSplitTransfer!$K$9:$K$68),MATCH(R90,C_MergerSplitTransfer!$T$9:$T$68,0))</f>
        <v>0</v>
      </c>
      <c r="AI90" s="431">
        <f>IF(AI$75&lt;=CNTR_YearMergerSplit,"",INDEX(B_InitialSituation!G$9:G$153,MATCH($R90,B_InitialSituation!$Q$9:$Q$153,0))*$AH90)</f>
        <v>0</v>
      </c>
      <c r="AJ90" s="431">
        <f>IF(AJ$75&lt;=CNTR_YearMergerSplit,"",INDEX(B_InitialSituation!H$9:H$153,MATCH($R90,B_InitialSituation!$Q$9:$Q$153,0))*$AH90)</f>
        <v>0</v>
      </c>
      <c r="AK90" s="431">
        <f>IF(AK$75&lt;=CNTR_YearMergerSplit,"",INDEX(B_InitialSituation!I$9:I$153,MATCH($R90,B_InitialSituation!$Q$9:$Q$153,0))*$AH90)</f>
        <v>0</v>
      </c>
      <c r="AL90" s="431">
        <f>IF(AL$75&lt;=CNTR_YearMergerSplit,"",INDEX(B_InitialSituation!J$9:J$153,MATCH($R90,B_InitialSituation!$Q$9:$Q$153,0))*$AH90)</f>
        <v>0</v>
      </c>
      <c r="AM90" s="431">
        <f>IF(AM$75&lt;=CNTR_YearMergerSplit,"",INDEX(B_InitialSituation!K$9:K$153,MATCH($R90,B_InitialSituation!$Q$9:$Q$153,0))*$AH90)</f>
        <v>0</v>
      </c>
      <c r="AN90" s="431">
        <f>IF(AN$75&lt;=CNTR_YearMergerSplit,"",INDEX(B_InitialSituation!L$9:L$153,MATCH($R90,B_InitialSituation!$Q$9:$Q$153,0))*$AH90)</f>
        <v>0</v>
      </c>
      <c r="AO90" s="431">
        <f>IF(AO$75&lt;=CNTR_YearMergerSplit,"",INDEX(B_InitialSituation!M$9:M$153,MATCH($R90,B_InitialSituation!$Q$9:$Q$153,0))*$AH90)</f>
        <v>0</v>
      </c>
      <c r="AP90" s="431">
        <f>IF(AP$75&lt;=CNTR_YearMergerSplit,"",INDEX(B_InitialSituation!N$9:N$153,MATCH($R90,B_InitialSituation!$Q$9:$Q$153,0))*$AH90)</f>
        <v>0</v>
      </c>
      <c r="AQ90" s="423"/>
    </row>
    <row r="91" spans="1:43" s="522" customFormat="1" ht="25.5" customHeight="1">
      <c r="A91" s="4"/>
      <c r="B91" s="5"/>
      <c r="C91" s="29">
        <v>15</v>
      </c>
      <c r="D91" s="940" t="str">
        <f t="shared" si="17"/>
        <v>Sous-installation avec émissions de procédé, CL</v>
      </c>
      <c r="E91" s="941"/>
      <c r="F91" s="942"/>
      <c r="G91" s="393">
        <f t="shared" si="15"/>
      </c>
      <c r="H91" s="393">
        <f t="shared" si="5"/>
      </c>
      <c r="I91" s="393">
        <f t="shared" si="6"/>
      </c>
      <c r="J91" s="393">
        <f t="shared" si="7"/>
      </c>
      <c r="K91" s="393">
        <f t="shared" si="8"/>
      </c>
      <c r="L91" s="393">
        <f t="shared" si="9"/>
      </c>
      <c r="M91" s="393">
        <f t="shared" si="10"/>
      </c>
      <c r="N91" s="393">
        <f t="shared" si="11"/>
      </c>
      <c r="O91" s="323"/>
      <c r="P91" s="9"/>
      <c r="Q91" s="451" t="str">
        <f t="shared" si="12"/>
        <v>FInitial_1_Sous-installation avec émissions de procédé, CL</v>
      </c>
      <c r="R91" s="451" t="str">
        <f t="shared" si="13"/>
        <v>FInitial_2_Sous-installation avec émissions de procédé, CL</v>
      </c>
      <c r="S91" s="423"/>
      <c r="T91" s="423"/>
      <c r="U91" s="423"/>
      <c r="V91" s="453">
        <f t="shared" si="16"/>
        <v>1</v>
      </c>
      <c r="W91" s="423"/>
      <c r="X91" s="430">
        <f>INDEX(CHOOSE($V91,C_MergerSplitTransfer!$H$9:$H$68,C_MergerSplitTransfer!$K$9:$K$68),MATCH(Q91,C_MergerSplitTransfer!$T$9:$T$68,0))</f>
        <v>0</v>
      </c>
      <c r="Y91" s="431">
        <f>IF(Y$75&lt;=CNTR_YearMergerSplit,"",INDEX(B_InitialSituation!G$9:G$153,MATCH($Q91,B_InitialSituation!$Q$9:$Q$153,0))*$X91)</f>
        <v>0</v>
      </c>
      <c r="Z91" s="431">
        <f>IF(Z$75&lt;=CNTR_YearMergerSplit,"",INDEX(B_InitialSituation!H$9:H$153,MATCH($Q91,B_InitialSituation!$Q$9:$Q$153,0))*$X91)</f>
        <v>0</v>
      </c>
      <c r="AA91" s="431">
        <f>IF(AA$75&lt;=CNTR_YearMergerSplit,"",INDEX(B_InitialSituation!I$9:I$153,MATCH($Q91,B_InitialSituation!$Q$9:$Q$153,0))*$X91)</f>
        <v>0</v>
      </c>
      <c r="AB91" s="431">
        <f>IF(AB$75&lt;=CNTR_YearMergerSplit,"",INDEX(B_InitialSituation!J$9:J$153,MATCH($Q91,B_InitialSituation!$Q$9:$Q$153,0))*$X91)</f>
        <v>0</v>
      </c>
      <c r="AC91" s="431">
        <f>IF(AC$75&lt;=CNTR_YearMergerSplit,"",INDEX(B_InitialSituation!K$9:K$153,MATCH($Q91,B_InitialSituation!$Q$9:$Q$153,0))*$X91)</f>
        <v>0</v>
      </c>
      <c r="AD91" s="431">
        <f>IF(AD$75&lt;=CNTR_YearMergerSplit,"",INDEX(B_InitialSituation!L$9:L$153,MATCH($Q91,B_InitialSituation!$Q$9:$Q$153,0))*$X91)</f>
        <v>0</v>
      </c>
      <c r="AE91" s="431">
        <f>IF(AE$75&lt;=CNTR_YearMergerSplit,"",INDEX(B_InitialSituation!M$9:M$153,MATCH($Q91,B_InitialSituation!$Q$9:$Q$153,0))*$X91)</f>
        <v>0</v>
      </c>
      <c r="AF91" s="431">
        <f>IF(AF$75&lt;=CNTR_YearMergerSplit,"",INDEX(B_InitialSituation!N$9:N$153,MATCH($Q91,B_InitialSituation!$Q$9:$Q$153,0))*$X91)</f>
        <v>0</v>
      </c>
      <c r="AG91" s="423"/>
      <c r="AH91" s="430">
        <f>INDEX(CHOOSE($V91,C_MergerSplitTransfer!$H$9:$H$68,C_MergerSplitTransfer!$K$9:$K$68),MATCH(R91,C_MergerSplitTransfer!$T$9:$T$68,0))</f>
        <v>0</v>
      </c>
      <c r="AI91" s="431">
        <f>IF(AI$75&lt;=CNTR_YearMergerSplit,"",INDEX(B_InitialSituation!G$9:G$153,MATCH($R91,B_InitialSituation!$Q$9:$Q$153,0))*$AH91)</f>
        <v>0</v>
      </c>
      <c r="AJ91" s="431">
        <f>IF(AJ$75&lt;=CNTR_YearMergerSplit,"",INDEX(B_InitialSituation!H$9:H$153,MATCH($R91,B_InitialSituation!$Q$9:$Q$153,0))*$AH91)</f>
        <v>0</v>
      </c>
      <c r="AK91" s="431">
        <f>IF(AK$75&lt;=CNTR_YearMergerSplit,"",INDEX(B_InitialSituation!I$9:I$153,MATCH($R91,B_InitialSituation!$Q$9:$Q$153,0))*$AH91)</f>
        <v>0</v>
      </c>
      <c r="AL91" s="431">
        <f>IF(AL$75&lt;=CNTR_YearMergerSplit,"",INDEX(B_InitialSituation!J$9:J$153,MATCH($R91,B_InitialSituation!$Q$9:$Q$153,0))*$AH91)</f>
        <v>0</v>
      </c>
      <c r="AM91" s="431">
        <f>IF(AM$75&lt;=CNTR_YearMergerSplit,"",INDEX(B_InitialSituation!K$9:K$153,MATCH($R91,B_InitialSituation!$Q$9:$Q$153,0))*$AH91)</f>
        <v>0</v>
      </c>
      <c r="AN91" s="431">
        <f>IF(AN$75&lt;=CNTR_YearMergerSplit,"",INDEX(B_InitialSituation!L$9:L$153,MATCH($R91,B_InitialSituation!$Q$9:$Q$153,0))*$AH91)</f>
        <v>0</v>
      </c>
      <c r="AO91" s="431">
        <f>IF(AO$75&lt;=CNTR_YearMergerSplit,"",INDEX(B_InitialSituation!M$9:M$153,MATCH($R91,B_InitialSituation!$Q$9:$Q$153,0))*$AH91)</f>
        <v>0</v>
      </c>
      <c r="AP91" s="431">
        <f>IF(AP$75&lt;=CNTR_YearMergerSplit,"",INDEX(B_InitialSituation!N$9:N$153,MATCH($R91,B_InitialSituation!$Q$9:$Q$153,0))*$AH91)</f>
        <v>0</v>
      </c>
      <c r="AQ91" s="423"/>
    </row>
    <row r="92" spans="1:43" s="522" customFormat="1" ht="25.5" customHeight="1">
      <c r="A92" s="4"/>
      <c r="B92" s="5"/>
      <c r="C92" s="29">
        <v>16</v>
      </c>
      <c r="D92" s="934" t="str">
        <f t="shared" si="17"/>
        <v>Sous-installation avec émissions de procédé, non-CL</v>
      </c>
      <c r="E92" s="935"/>
      <c r="F92" s="936"/>
      <c r="G92" s="395">
        <f t="shared" si="15"/>
      </c>
      <c r="H92" s="395">
        <f t="shared" si="5"/>
      </c>
      <c r="I92" s="395">
        <f t="shared" si="6"/>
      </c>
      <c r="J92" s="395">
        <f t="shared" si="7"/>
      </c>
      <c r="K92" s="395">
        <f t="shared" si="8"/>
      </c>
      <c r="L92" s="395">
        <f t="shared" si="9"/>
      </c>
      <c r="M92" s="395">
        <f t="shared" si="10"/>
      </c>
      <c r="N92" s="395">
        <f t="shared" si="11"/>
      </c>
      <c r="O92" s="323"/>
      <c r="P92" s="9"/>
      <c r="Q92" s="451" t="str">
        <f t="shared" si="12"/>
        <v>FInitial_1_Sous-installation avec émissions de procédé, non-CL</v>
      </c>
      <c r="R92" s="451" t="str">
        <f t="shared" si="13"/>
        <v>FInitial_2_Sous-installation avec émissions de procédé, non-CL</v>
      </c>
      <c r="S92" s="423"/>
      <c r="T92" s="423"/>
      <c r="U92" s="423"/>
      <c r="V92" s="453">
        <f t="shared" si="16"/>
        <v>1</v>
      </c>
      <c r="W92" s="423"/>
      <c r="X92" s="434">
        <f>INDEX(CHOOSE($V92,C_MergerSplitTransfer!$H$9:$H$68,C_MergerSplitTransfer!$K$9:$K$68),MATCH(Q92,C_MergerSplitTransfer!$T$9:$T$68,0))</f>
        <v>0</v>
      </c>
      <c r="Y92" s="435">
        <f>IF(Y$75&lt;=CNTR_YearMergerSplit,"",INDEX(B_InitialSituation!G$9:G$153,MATCH($Q92,B_InitialSituation!$Q$9:$Q$153,0))*$X92)</f>
        <v>0</v>
      </c>
      <c r="Z92" s="435">
        <f>IF(Z$75&lt;=CNTR_YearMergerSplit,"",INDEX(B_InitialSituation!H$9:H$153,MATCH($Q92,B_InitialSituation!$Q$9:$Q$153,0))*$X92)</f>
        <v>0</v>
      </c>
      <c r="AA92" s="435">
        <f>IF(AA$75&lt;=CNTR_YearMergerSplit,"",INDEX(B_InitialSituation!I$9:I$153,MATCH($Q92,B_InitialSituation!$Q$9:$Q$153,0))*$X92)</f>
        <v>0</v>
      </c>
      <c r="AB92" s="435">
        <f>IF(AB$75&lt;=CNTR_YearMergerSplit,"",INDEX(B_InitialSituation!J$9:J$153,MATCH($Q92,B_InitialSituation!$Q$9:$Q$153,0))*$X92)</f>
        <v>0</v>
      </c>
      <c r="AC92" s="435">
        <f>IF(AC$75&lt;=CNTR_YearMergerSplit,"",INDEX(B_InitialSituation!K$9:K$153,MATCH($Q92,B_InitialSituation!$Q$9:$Q$153,0))*$X92)</f>
        <v>0</v>
      </c>
      <c r="AD92" s="435">
        <f>IF(AD$75&lt;=CNTR_YearMergerSplit,"",INDEX(B_InitialSituation!L$9:L$153,MATCH($Q92,B_InitialSituation!$Q$9:$Q$153,0))*$X92)</f>
        <v>0</v>
      </c>
      <c r="AE92" s="435">
        <f>IF(AE$75&lt;=CNTR_YearMergerSplit,"",INDEX(B_InitialSituation!M$9:M$153,MATCH($Q92,B_InitialSituation!$Q$9:$Q$153,0))*$X92)</f>
        <v>0</v>
      </c>
      <c r="AF92" s="435">
        <f>IF(AF$75&lt;=CNTR_YearMergerSplit,"",INDEX(B_InitialSituation!N$9:N$153,MATCH($Q92,B_InitialSituation!$Q$9:$Q$153,0))*$X92)</f>
        <v>0</v>
      </c>
      <c r="AG92" s="423"/>
      <c r="AH92" s="434">
        <f>INDEX(CHOOSE($V92,C_MergerSplitTransfer!$H$9:$H$68,C_MergerSplitTransfer!$K$9:$K$68),MATCH(R92,C_MergerSplitTransfer!$T$9:$T$68,0))</f>
        <v>0</v>
      </c>
      <c r="AI92" s="435">
        <f>IF(AI$75&lt;=CNTR_YearMergerSplit,"",INDEX(B_InitialSituation!G$9:G$153,MATCH($R92,B_InitialSituation!$Q$9:$Q$153,0))*$AH92)</f>
        <v>0</v>
      </c>
      <c r="AJ92" s="435">
        <f>IF(AJ$75&lt;=CNTR_YearMergerSplit,"",INDEX(B_InitialSituation!H$9:H$153,MATCH($R92,B_InitialSituation!$Q$9:$Q$153,0))*$AH92)</f>
        <v>0</v>
      </c>
      <c r="AK92" s="435">
        <f>IF(AK$75&lt;=CNTR_YearMergerSplit,"",INDEX(B_InitialSituation!I$9:I$153,MATCH($R92,B_InitialSituation!$Q$9:$Q$153,0))*$AH92)</f>
        <v>0</v>
      </c>
      <c r="AL92" s="435">
        <f>IF(AL$75&lt;=CNTR_YearMergerSplit,"",INDEX(B_InitialSituation!J$9:J$153,MATCH($R92,B_InitialSituation!$Q$9:$Q$153,0))*$AH92)</f>
        <v>0</v>
      </c>
      <c r="AM92" s="435">
        <f>IF(AM$75&lt;=CNTR_YearMergerSplit,"",INDEX(B_InitialSituation!K$9:K$153,MATCH($R92,B_InitialSituation!$Q$9:$Q$153,0))*$AH92)</f>
        <v>0</v>
      </c>
      <c r="AN92" s="435">
        <f>IF(AN$75&lt;=CNTR_YearMergerSplit,"",INDEX(B_InitialSituation!L$9:L$153,MATCH($R92,B_InitialSituation!$Q$9:$Q$153,0))*$AH92)</f>
        <v>0</v>
      </c>
      <c r="AO92" s="435">
        <f>IF(AO$75&lt;=CNTR_YearMergerSplit,"",INDEX(B_InitialSituation!M$9:M$153,MATCH($R92,B_InitialSituation!$Q$9:$Q$153,0))*$AH92)</f>
        <v>0</v>
      </c>
      <c r="AP92" s="435">
        <f>IF(AP$75&lt;=CNTR_YearMergerSplit,"",INDEX(B_InitialSituation!N$9:N$153,MATCH($R92,B_InitialSituation!$Q$9:$Q$153,0))*$AH92)</f>
        <v>0</v>
      </c>
      <c r="AQ92" s="423"/>
    </row>
    <row r="93" spans="1:43" s="522" customFormat="1" ht="12.75" customHeight="1" thickBot="1">
      <c r="A93" s="4"/>
      <c r="B93" s="5"/>
      <c r="C93" s="413">
        <v>17</v>
      </c>
      <c r="D93" s="946" t="str">
        <f>EUconst_PrivateHouseholds</f>
        <v>Ménages privés</v>
      </c>
      <c r="E93" s="947"/>
      <c r="F93" s="948"/>
      <c r="G93" s="414">
        <f t="shared" si="15"/>
      </c>
      <c r="H93" s="414">
        <f t="shared" si="5"/>
      </c>
      <c r="I93" s="414">
        <f t="shared" si="6"/>
      </c>
      <c r="J93" s="414">
        <f t="shared" si="7"/>
      </c>
      <c r="K93" s="414">
        <f t="shared" si="8"/>
      </c>
      <c r="L93" s="414">
        <f t="shared" si="9"/>
      </c>
      <c r="M93" s="414">
        <f t="shared" si="10"/>
      </c>
      <c r="N93" s="414">
        <f t="shared" si="11"/>
      </c>
      <c r="O93" s="323"/>
      <c r="P93" s="9"/>
      <c r="Q93" s="451" t="str">
        <f t="shared" si="12"/>
        <v>FInitial_1_Ménages privés</v>
      </c>
      <c r="R93" s="451" t="str">
        <f t="shared" si="13"/>
        <v>FInitial_2_Ménages privés</v>
      </c>
      <c r="S93" s="423"/>
      <c r="T93" s="423"/>
      <c r="U93" s="423"/>
      <c r="V93" s="454">
        <f t="shared" si="16"/>
        <v>1</v>
      </c>
      <c r="W93" s="423"/>
      <c r="X93" s="436">
        <f>INDEX(CHOOSE($V93,C_MergerSplitTransfer!$H$9:$H$68,C_MergerSplitTransfer!$K$9:$K$68),MATCH(Q93,C_MergerSplitTransfer!$T$9:$T$68,0))</f>
        <v>0</v>
      </c>
      <c r="Y93" s="437">
        <f>IF(Y$75&lt;=CNTR_YearMergerSplit,"",INDEX(B_InitialSituation!G$9:G$153,MATCH($Q93,B_InitialSituation!$Q$9:$Q$153,0))*$X93)</f>
        <v>0</v>
      </c>
      <c r="Z93" s="437">
        <f>IF(Z$75&lt;=CNTR_YearMergerSplit,"",INDEX(B_InitialSituation!H$9:H$153,MATCH($Q93,B_InitialSituation!$Q$9:$Q$153,0))*$X93)</f>
        <v>0</v>
      </c>
      <c r="AA93" s="437">
        <f>IF(AA$75&lt;=CNTR_YearMergerSplit,"",INDEX(B_InitialSituation!I$9:I$153,MATCH($Q93,B_InitialSituation!$Q$9:$Q$153,0))*$X93)</f>
        <v>0</v>
      </c>
      <c r="AB93" s="437">
        <f>IF(AB$75&lt;=CNTR_YearMergerSplit,"",INDEX(B_InitialSituation!J$9:J$153,MATCH($Q93,B_InitialSituation!$Q$9:$Q$153,0))*$X93)</f>
        <v>0</v>
      </c>
      <c r="AC93" s="437">
        <f>IF(AC$75&lt;=CNTR_YearMergerSplit,"",INDEX(B_InitialSituation!K$9:K$153,MATCH($Q93,B_InitialSituation!$Q$9:$Q$153,0))*$X93)</f>
        <v>0</v>
      </c>
      <c r="AD93" s="437">
        <f>IF(AD$75&lt;=CNTR_YearMergerSplit,"",INDEX(B_InitialSituation!L$9:L$153,MATCH($Q93,B_InitialSituation!$Q$9:$Q$153,0))*$X93)</f>
        <v>0</v>
      </c>
      <c r="AE93" s="437">
        <f>IF(AE$75&lt;=CNTR_YearMergerSplit,"",INDEX(B_InitialSituation!M$9:M$153,MATCH($Q93,B_InitialSituation!$Q$9:$Q$153,0))*$X93)</f>
        <v>0</v>
      </c>
      <c r="AF93" s="437">
        <f>IF(AF$75&lt;=CNTR_YearMergerSplit,"",INDEX(B_InitialSituation!N$9:N$153,MATCH($Q93,B_InitialSituation!$Q$9:$Q$153,0))*$X93)</f>
        <v>0</v>
      </c>
      <c r="AG93" s="423"/>
      <c r="AH93" s="436">
        <f>INDEX(CHOOSE($V93,C_MergerSplitTransfer!$H$9:$H$68,C_MergerSplitTransfer!$K$9:$K$68),MATCH(R93,C_MergerSplitTransfer!$T$9:$T$68,0))</f>
        <v>0</v>
      </c>
      <c r="AI93" s="437">
        <f>IF(AI$75&lt;=CNTR_YearMergerSplit,"",INDEX(B_InitialSituation!G$9:G$153,MATCH($R93,B_InitialSituation!$Q$9:$Q$153,0))*$AH93)</f>
        <v>0</v>
      </c>
      <c r="AJ93" s="437">
        <f>IF(AJ$75&lt;=CNTR_YearMergerSplit,"",INDEX(B_InitialSituation!H$9:H$153,MATCH($R93,B_InitialSituation!$Q$9:$Q$153,0))*$AH93)</f>
        <v>0</v>
      </c>
      <c r="AK93" s="437">
        <f>IF(AK$75&lt;=CNTR_YearMergerSplit,"",INDEX(B_InitialSituation!I$9:I$153,MATCH($R93,B_InitialSituation!$Q$9:$Q$153,0))*$AH93)</f>
        <v>0</v>
      </c>
      <c r="AL93" s="437">
        <f>IF(AL$75&lt;=CNTR_YearMergerSplit,"",INDEX(B_InitialSituation!J$9:J$153,MATCH($R93,B_InitialSituation!$Q$9:$Q$153,0))*$AH93)</f>
        <v>0</v>
      </c>
      <c r="AM93" s="437">
        <f>IF(AM$75&lt;=CNTR_YearMergerSplit,"",INDEX(B_InitialSituation!K$9:K$153,MATCH($R93,B_InitialSituation!$Q$9:$Q$153,0))*$AH93)</f>
        <v>0</v>
      </c>
      <c r="AN93" s="437">
        <f>IF(AN$75&lt;=CNTR_YearMergerSplit,"",INDEX(B_InitialSituation!L$9:L$153,MATCH($R93,B_InitialSituation!$Q$9:$Q$153,0))*$AH93)</f>
        <v>0</v>
      </c>
      <c r="AO93" s="437">
        <f>IF(AO$75&lt;=CNTR_YearMergerSplit,"",INDEX(B_InitialSituation!M$9:M$153,MATCH($R93,B_InitialSituation!$Q$9:$Q$153,0))*$AH93)</f>
        <v>0</v>
      </c>
      <c r="AP93" s="437">
        <f>IF(AP$75&lt;=CNTR_YearMergerSplit,"",INDEX(B_InitialSituation!N$9:N$153,MATCH($R93,B_InitialSituation!$Q$9:$Q$153,0))*$AH93)</f>
        <v>0</v>
      </c>
      <c r="AQ93" s="423"/>
    </row>
    <row r="94" spans="1:43" s="522" customFormat="1" ht="12.75" customHeight="1">
      <c r="A94" s="4"/>
      <c r="B94" s="5"/>
      <c r="C94" s="18"/>
      <c r="D94" s="1024" t="str">
        <f>EUconst_TotFreeAlloc</f>
        <v>Allocation totale finale à titre gratuit</v>
      </c>
      <c r="E94" s="1025"/>
      <c r="F94" s="1026"/>
      <c r="G94" s="212">
        <f aca="true" t="shared" si="18" ref="G94:N94">IF(COUNT(G76:G93)&gt;0,SUM(G76:G93),"")</f>
      </c>
      <c r="H94" s="212">
        <f t="shared" si="18"/>
      </c>
      <c r="I94" s="212">
        <f t="shared" si="18"/>
      </c>
      <c r="J94" s="212">
        <f t="shared" si="18"/>
      </c>
      <c r="K94" s="212">
        <f t="shared" si="18"/>
      </c>
      <c r="L94" s="212">
        <f t="shared" si="18"/>
      </c>
      <c r="M94" s="212">
        <f t="shared" si="18"/>
      </c>
      <c r="N94" s="212">
        <f t="shared" si="18"/>
      </c>
      <c r="O94" s="323"/>
      <c r="P94" s="9"/>
      <c r="Q94" s="441"/>
      <c r="R94" s="423"/>
      <c r="S94" s="423"/>
      <c r="T94" s="423"/>
      <c r="U94" s="423"/>
      <c r="V94" s="423"/>
      <c r="W94" s="423"/>
      <c r="X94" s="423"/>
      <c r="Y94" s="423"/>
      <c r="Z94" s="423"/>
      <c r="AA94" s="423"/>
      <c r="AB94" s="423"/>
      <c r="AC94" s="423"/>
      <c r="AD94" s="423"/>
      <c r="AE94" s="423"/>
      <c r="AF94" s="423"/>
      <c r="AG94" s="423"/>
      <c r="AH94" s="423"/>
      <c r="AI94" s="423"/>
      <c r="AJ94" s="423"/>
      <c r="AK94" s="423"/>
      <c r="AL94" s="423"/>
      <c r="AM94" s="423"/>
      <c r="AN94" s="423"/>
      <c r="AO94" s="423"/>
      <c r="AP94" s="423"/>
      <c r="AQ94" s="423"/>
    </row>
    <row r="95" spans="1:43" s="522" customFormat="1" ht="12.75" customHeight="1">
      <c r="A95" s="4"/>
      <c r="B95" s="5"/>
      <c r="C95" s="7"/>
      <c r="D95" s="5"/>
      <c r="E95" s="5"/>
      <c r="F95" s="5"/>
      <c r="G95" s="5"/>
      <c r="H95" s="5"/>
      <c r="I95" s="5"/>
      <c r="J95" s="5"/>
      <c r="K95" s="5"/>
      <c r="L95" s="5"/>
      <c r="M95" s="9"/>
      <c r="N95" s="9"/>
      <c r="O95" s="315"/>
      <c r="P95" s="9"/>
      <c r="Q95" s="441"/>
      <c r="R95" s="423"/>
      <c r="S95" s="423"/>
      <c r="T95" s="423"/>
      <c r="U95" s="423"/>
      <c r="V95" s="441"/>
      <c r="W95" s="423"/>
      <c r="X95" s="423"/>
      <c r="Y95" s="423"/>
      <c r="Z95" s="423"/>
      <c r="AA95" s="423"/>
      <c r="AB95" s="423"/>
      <c r="AC95" s="423"/>
      <c r="AD95" s="423"/>
      <c r="AE95" s="423"/>
      <c r="AF95" s="423"/>
      <c r="AG95" s="423"/>
      <c r="AH95" s="423"/>
      <c r="AI95" s="423"/>
      <c r="AJ95" s="423"/>
      <c r="AK95" s="423"/>
      <c r="AL95" s="423"/>
      <c r="AM95" s="423"/>
      <c r="AN95" s="423"/>
      <c r="AO95" s="423"/>
      <c r="AP95" s="423"/>
      <c r="AQ95" s="423"/>
    </row>
    <row r="96" spans="1:43" s="522" customFormat="1" ht="15" customHeight="1">
      <c r="A96" s="4"/>
      <c r="B96" s="18"/>
      <c r="C96" s="337"/>
      <c r="D96" s="988" t="str">
        <f>Translations!$B$1571</f>
        <v>Nouvelle capacité installée initiale et nouveau niveau d’activité annuel:</v>
      </c>
      <c r="E96" s="989"/>
      <c r="F96" s="989"/>
      <c r="G96" s="989"/>
      <c r="H96" s="989"/>
      <c r="I96" s="989"/>
      <c r="J96" s="989"/>
      <c r="K96" s="989"/>
      <c r="L96" s="989"/>
      <c r="M96" s="989"/>
      <c r="N96" s="989"/>
      <c r="O96" s="18"/>
      <c r="P96" s="18"/>
      <c r="Q96" s="440"/>
      <c r="R96" s="423"/>
      <c r="S96" s="423"/>
      <c r="T96" s="423"/>
      <c r="U96" s="423"/>
      <c r="V96" s="423"/>
      <c r="W96" s="423"/>
      <c r="X96" s="423"/>
      <c r="Y96" s="423"/>
      <c r="Z96" s="423"/>
      <c r="AA96" s="423"/>
      <c r="AB96" s="423"/>
      <c r="AC96" s="423"/>
      <c r="AD96" s="423"/>
      <c r="AE96" s="423"/>
      <c r="AF96" s="423"/>
      <c r="AG96" s="423"/>
      <c r="AH96" s="423"/>
      <c r="AI96" s="423"/>
      <c r="AJ96" s="423"/>
      <c r="AK96" s="423"/>
      <c r="AL96" s="423"/>
      <c r="AM96" s="423"/>
      <c r="AN96" s="423"/>
      <c r="AO96" s="423"/>
      <c r="AP96" s="423"/>
      <c r="AQ96" s="423"/>
    </row>
    <row r="97" spans="1:43" s="522" customFormat="1" ht="4.5" customHeight="1">
      <c r="A97" s="4"/>
      <c r="B97" s="5"/>
      <c r="C97" s="5"/>
      <c r="D97" s="5"/>
      <c r="E97" s="5"/>
      <c r="F97" s="5"/>
      <c r="G97" s="5"/>
      <c r="H97" s="5"/>
      <c r="I97" s="5"/>
      <c r="J97" s="5"/>
      <c r="K97" s="5"/>
      <c r="L97" s="5"/>
      <c r="M97" s="9"/>
      <c r="N97" s="9"/>
      <c r="O97" s="9"/>
      <c r="P97" s="9"/>
      <c r="Q97" s="441"/>
      <c r="R97" s="423"/>
      <c r="S97" s="423"/>
      <c r="T97" s="423"/>
      <c r="U97" s="423"/>
      <c r="V97" s="423"/>
      <c r="W97" s="423"/>
      <c r="X97" s="423"/>
      <c r="Y97" s="423"/>
      <c r="Z97" s="423"/>
      <c r="AA97" s="423"/>
      <c r="AB97" s="423"/>
      <c r="AC97" s="423"/>
      <c r="AD97" s="423"/>
      <c r="AE97" s="423"/>
      <c r="AF97" s="423"/>
      <c r="AG97" s="423"/>
      <c r="AH97" s="423"/>
      <c r="AI97" s="423"/>
      <c r="AJ97" s="423"/>
      <c r="AK97" s="423"/>
      <c r="AL97" s="423"/>
      <c r="AM97" s="423"/>
      <c r="AN97" s="423"/>
      <c r="AO97" s="423"/>
      <c r="AP97" s="423"/>
      <c r="AQ97" s="423"/>
    </row>
    <row r="98" spans="1:43" s="526" customFormat="1" ht="38.25" customHeight="1" thickBot="1">
      <c r="A98" s="396"/>
      <c r="B98" s="372"/>
      <c r="C98" s="397"/>
      <c r="D98" s="965" t="str">
        <f>Translations!$B$440</f>
        <v>Sous-installation</v>
      </c>
      <c r="E98" s="966"/>
      <c r="F98" s="966"/>
      <c r="G98" s="967"/>
      <c r="H98" s="66" t="str">
        <f>EUconst_Unit</f>
        <v>Unité</v>
      </c>
      <c r="I98" s="66" t="str">
        <f>Translations!$B$1030</f>
        <v>Capacité installée initiale</v>
      </c>
      <c r="J98" s="398" t="str">
        <f>Translations!$B$1187</f>
        <v>Niveau d'activité annuel initial </v>
      </c>
      <c r="K98" s="5"/>
      <c r="L98" s="323"/>
      <c r="M98" s="323"/>
      <c r="N98" s="323"/>
      <c r="O98" s="399"/>
      <c r="P98" s="400"/>
      <c r="Q98" s="455"/>
      <c r="R98" s="455"/>
      <c r="S98" s="455"/>
      <c r="T98" s="455"/>
      <c r="U98" s="455"/>
      <c r="V98" s="449" t="s">
        <v>548</v>
      </c>
      <c r="W98" s="455"/>
      <c r="X98" s="438" t="str">
        <f>Translations!$B$1030</f>
        <v>Capacité installée initiale</v>
      </c>
      <c r="Y98" s="439" t="str">
        <f>Translations!$B$1187</f>
        <v>Niveau d'activité annuel initial </v>
      </c>
      <c r="Z98" s="423"/>
      <c r="AA98" s="119" t="s">
        <v>539</v>
      </c>
      <c r="AB98" s="119" t="s">
        <v>536</v>
      </c>
      <c r="AC98" s="10" t="s">
        <v>540</v>
      </c>
      <c r="AD98" s="441" t="s">
        <v>571</v>
      </c>
      <c r="AE98" s="441" t="str">
        <f>EUconst_Unit</f>
        <v>Unité</v>
      </c>
      <c r="AF98" s="441" t="str">
        <f>EUconst_Unit</f>
        <v>Unité</v>
      </c>
      <c r="AG98" s="456"/>
      <c r="AH98" s="459" t="str">
        <f>Translations!$B$1030</f>
        <v>Capacité installée initiale</v>
      </c>
      <c r="AI98" s="439" t="str">
        <f>Translations!$B$1187</f>
        <v>Niveau d'activité annuel initial </v>
      </c>
      <c r="AJ98" s="456"/>
      <c r="AK98" s="456"/>
      <c r="AL98" s="456"/>
      <c r="AM98" s="456"/>
      <c r="AN98" s="456"/>
      <c r="AO98" s="456"/>
      <c r="AP98" s="456"/>
      <c r="AQ98" s="456"/>
    </row>
    <row r="99" spans="1:43" s="522" customFormat="1" ht="12.75" customHeight="1">
      <c r="A99" s="4"/>
      <c r="B99" s="5"/>
      <c r="C99" s="29">
        <v>1</v>
      </c>
      <c r="D99" s="959">
        <f aca="true" t="shared" si="19" ref="D99:D108">IF(D77="","",D77)</f>
      </c>
      <c r="E99" s="960"/>
      <c r="F99" s="960"/>
      <c r="G99" s="961"/>
      <c r="H99" s="65">
        <f aca="true" t="shared" si="20" ref="H99:H108">IF(D99&lt;&gt;"",INDEX(EUconst_BMlistUnits,MATCH($D99,EUconst_BMlistNames,0))&amp;" / "&amp;EUconst_Year,"")</f>
      </c>
      <c r="I99" s="485">
        <f>IF(X99=0,"",ROUND(X99,0))</f>
      </c>
      <c r="J99" s="485">
        <f aca="true" t="shared" si="21" ref="J99:J114">IF(Y99=0,"",ROUND(Y99,0))</f>
      </c>
      <c r="K99" s="5"/>
      <c r="L99" s="323"/>
      <c r="M99" s="323"/>
      <c r="N99" s="323"/>
      <c r="O99" s="323"/>
      <c r="P99" s="481"/>
      <c r="Q99" s="451" t="str">
        <f aca="true" t="shared" si="22" ref="Q99:Q114">EUconst_CNTR_CAPINI&amp;$D99</f>
        <v>CAPINI_</v>
      </c>
      <c r="R99" s="455"/>
      <c r="S99" s="441"/>
      <c r="T99" s="441"/>
      <c r="U99" s="441"/>
      <c r="V99" s="452">
        <f>V93</f>
        <v>1</v>
      </c>
      <c r="W99" s="441"/>
      <c r="X99" s="460">
        <f>SUMIF(C_MergerSplitTransfer!$U$9:$U$68,$Q99,CHOOSE($V99,C_MergerSplitTransfer!I$9:I$68,C_MergerSplitTransfer!L$9:L$68))</f>
        <v>0</v>
      </c>
      <c r="Y99" s="460">
        <f>SUMIF(C_MergerSplitTransfer!$U$9:$U$68,$Q99,CHOOSE($V99,C_MergerSplitTransfer!J$9:J$68,C_MergerSplitTransfer!M$9:M$68))</f>
        <v>0</v>
      </c>
      <c r="Z99" s="423"/>
      <c r="AA99" s="451">
        <f aca="true" t="shared" si="23" ref="AA99:AA108">IF(D99="","",INDEX(EUconst_BMlistCLstatus,MATCH(D99,EUconst_BMlistNames,0)))</f>
      </c>
      <c r="AB99" s="451">
        <f aca="true" t="shared" si="24" ref="AB99:AB108">IF(D99="","",INDEX(EUconst_BMlistNumberOfBM,MATCH(D99,EUconst_BMlistNames,0)))</f>
      </c>
      <c r="AC99" s="451">
        <f aca="true" t="shared" si="25" ref="AC99:AC108">IF(D99="","",INDEX(EUconst_BMlistBMvalues,MATCH(D99,EUconst_BMlistNames,0)))</f>
      </c>
      <c r="AD99" s="451">
        <f aca="true" t="shared" si="26" ref="AD99:AD108">IF(D99="","",EUconst_EUA&amp;" / "&amp;AE99)</f>
      </c>
      <c r="AE99" s="451">
        <f aca="true" t="shared" si="27" ref="AE99:AE108">IF(D99="","",INDEX(EUconst_BMlistUnits,MATCH(D99,EUconst_BMlistNames,0)))</f>
      </c>
      <c r="AF99" s="451">
        <f aca="true" t="shared" si="28" ref="AF99:AF108">IF(D99="","",INDEX(EUconst_BMlistUnits,MATCH(D99,EUconst_BMlistNames,0))&amp;" / "&amp;EUconst_Year)</f>
      </c>
      <c r="AG99" s="423"/>
      <c r="AH99" s="423"/>
      <c r="AI99" s="423"/>
      <c r="AJ99" s="423"/>
      <c r="AK99" s="423"/>
      <c r="AL99" s="423"/>
      <c r="AM99" s="423"/>
      <c r="AN99" s="423"/>
      <c r="AO99" s="423"/>
      <c r="AP99" s="423"/>
      <c r="AQ99" s="423"/>
    </row>
    <row r="100" spans="1:43" s="522" customFormat="1" ht="12.75" customHeight="1">
      <c r="A100" s="4"/>
      <c r="B100" s="5"/>
      <c r="C100" s="29">
        <v>2</v>
      </c>
      <c r="D100" s="931">
        <f t="shared" si="19"/>
      </c>
      <c r="E100" s="932"/>
      <c r="F100" s="932"/>
      <c r="G100" s="933"/>
      <c r="H100" s="64">
        <f t="shared" si="20"/>
      </c>
      <c r="I100" s="486">
        <f aca="true" t="shared" si="29" ref="I100:I114">IF(X100=0,"",ROUND(X100,0))</f>
      </c>
      <c r="J100" s="486">
        <f t="shared" si="21"/>
      </c>
      <c r="K100" s="5"/>
      <c r="L100" s="323"/>
      <c r="M100" s="323"/>
      <c r="N100" s="323"/>
      <c r="O100" s="323"/>
      <c r="P100" s="321"/>
      <c r="Q100" s="451" t="str">
        <f t="shared" si="22"/>
        <v>CAPINI_</v>
      </c>
      <c r="R100" s="455"/>
      <c r="S100" s="441"/>
      <c r="T100" s="441"/>
      <c r="U100" s="441"/>
      <c r="V100" s="453">
        <f aca="true" t="shared" si="30" ref="V100:V114">V99</f>
        <v>1</v>
      </c>
      <c r="W100" s="441"/>
      <c r="X100" s="460">
        <f>SUMIF(C_MergerSplitTransfer!$U$9:$U$68,$Q100,CHOOSE($V100,C_MergerSplitTransfer!I$9:I$68,C_MergerSplitTransfer!L$9:L$68))</f>
        <v>0</v>
      </c>
      <c r="Y100" s="460">
        <f>SUMIF(C_MergerSplitTransfer!$U$9:$U$68,$Q100,CHOOSE($V100,C_MergerSplitTransfer!J$9:J$68,C_MergerSplitTransfer!M$9:M$68))</f>
        <v>0</v>
      </c>
      <c r="Z100" s="423"/>
      <c r="AA100" s="451">
        <f t="shared" si="23"/>
      </c>
      <c r="AB100" s="451">
        <f t="shared" si="24"/>
      </c>
      <c r="AC100" s="451">
        <f t="shared" si="25"/>
      </c>
      <c r="AD100" s="451">
        <f t="shared" si="26"/>
      </c>
      <c r="AE100" s="451">
        <f t="shared" si="27"/>
      </c>
      <c r="AF100" s="451">
        <f t="shared" si="28"/>
      </c>
      <c r="AG100" s="423"/>
      <c r="AH100" s="423"/>
      <c r="AI100" s="423"/>
      <c r="AJ100" s="423"/>
      <c r="AK100" s="423"/>
      <c r="AL100" s="423"/>
      <c r="AM100" s="423"/>
      <c r="AN100" s="423"/>
      <c r="AO100" s="423"/>
      <c r="AP100" s="423"/>
      <c r="AQ100" s="423"/>
    </row>
    <row r="101" spans="1:43" s="522" customFormat="1" ht="12.75" customHeight="1">
      <c r="A101" s="4"/>
      <c r="B101" s="5"/>
      <c r="C101" s="29">
        <v>3</v>
      </c>
      <c r="D101" s="931">
        <f t="shared" si="19"/>
      </c>
      <c r="E101" s="932"/>
      <c r="F101" s="932"/>
      <c r="G101" s="933"/>
      <c r="H101" s="64">
        <f t="shared" si="20"/>
      </c>
      <c r="I101" s="486">
        <f t="shared" si="29"/>
      </c>
      <c r="J101" s="486">
        <f t="shared" si="21"/>
      </c>
      <c r="K101" s="5"/>
      <c r="L101" s="323"/>
      <c r="M101" s="323"/>
      <c r="N101" s="323"/>
      <c r="O101" s="323"/>
      <c r="P101" s="321"/>
      <c r="Q101" s="451" t="str">
        <f t="shared" si="22"/>
        <v>CAPINI_</v>
      </c>
      <c r="R101" s="455"/>
      <c r="S101" s="441"/>
      <c r="T101" s="441"/>
      <c r="U101" s="441"/>
      <c r="V101" s="453">
        <f t="shared" si="30"/>
        <v>1</v>
      </c>
      <c r="W101" s="441"/>
      <c r="X101" s="460">
        <f>SUMIF(C_MergerSplitTransfer!$U$9:$U$68,$Q101,CHOOSE($V101,C_MergerSplitTransfer!I$9:I$68,C_MergerSplitTransfer!L$9:L$68))</f>
        <v>0</v>
      </c>
      <c r="Y101" s="460">
        <f>SUMIF(C_MergerSplitTransfer!$U$9:$U$68,$Q101,CHOOSE($V101,C_MergerSplitTransfer!J$9:J$68,C_MergerSplitTransfer!M$9:M$68))</f>
        <v>0</v>
      </c>
      <c r="Z101" s="423"/>
      <c r="AA101" s="451">
        <f t="shared" si="23"/>
      </c>
      <c r="AB101" s="451">
        <f t="shared" si="24"/>
      </c>
      <c r="AC101" s="451">
        <f t="shared" si="25"/>
      </c>
      <c r="AD101" s="451">
        <f t="shared" si="26"/>
      </c>
      <c r="AE101" s="451">
        <f t="shared" si="27"/>
      </c>
      <c r="AF101" s="451">
        <f t="shared" si="28"/>
      </c>
      <c r="AG101" s="423"/>
      <c r="AH101" s="423"/>
      <c r="AI101" s="423"/>
      <c r="AJ101" s="423"/>
      <c r="AK101" s="423"/>
      <c r="AL101" s="423"/>
      <c r="AM101" s="423"/>
      <c r="AN101" s="423"/>
      <c r="AO101" s="423"/>
      <c r="AP101" s="423"/>
      <c r="AQ101" s="423"/>
    </row>
    <row r="102" spans="1:43" s="522" customFormat="1" ht="12.75" customHeight="1">
      <c r="A102" s="4"/>
      <c r="B102" s="5"/>
      <c r="C102" s="29">
        <v>4</v>
      </c>
      <c r="D102" s="931">
        <f t="shared" si="19"/>
      </c>
      <c r="E102" s="932"/>
      <c r="F102" s="932"/>
      <c r="G102" s="933"/>
      <c r="H102" s="64">
        <f t="shared" si="20"/>
      </c>
      <c r="I102" s="486">
        <f t="shared" si="29"/>
      </c>
      <c r="J102" s="486">
        <f t="shared" si="21"/>
      </c>
      <c r="K102" s="5"/>
      <c r="L102" s="323"/>
      <c r="M102" s="323"/>
      <c r="N102" s="323"/>
      <c r="O102" s="323"/>
      <c r="P102" s="321"/>
      <c r="Q102" s="451" t="str">
        <f t="shared" si="22"/>
        <v>CAPINI_</v>
      </c>
      <c r="R102" s="455"/>
      <c r="S102" s="441"/>
      <c r="T102" s="441"/>
      <c r="U102" s="441"/>
      <c r="V102" s="453">
        <f t="shared" si="30"/>
        <v>1</v>
      </c>
      <c r="W102" s="441"/>
      <c r="X102" s="460">
        <f>SUMIF(C_MergerSplitTransfer!$U$9:$U$68,$Q102,CHOOSE($V102,C_MergerSplitTransfer!I$9:I$68,C_MergerSplitTransfer!L$9:L$68))</f>
        <v>0</v>
      </c>
      <c r="Y102" s="460">
        <f>SUMIF(C_MergerSplitTransfer!$U$9:$U$68,$Q102,CHOOSE($V102,C_MergerSplitTransfer!J$9:J$68,C_MergerSplitTransfer!M$9:M$68))</f>
        <v>0</v>
      </c>
      <c r="Z102" s="423"/>
      <c r="AA102" s="451">
        <f t="shared" si="23"/>
      </c>
      <c r="AB102" s="451">
        <f t="shared" si="24"/>
      </c>
      <c r="AC102" s="451">
        <f t="shared" si="25"/>
      </c>
      <c r="AD102" s="451">
        <f t="shared" si="26"/>
      </c>
      <c r="AE102" s="451">
        <f t="shared" si="27"/>
      </c>
      <c r="AF102" s="451">
        <f t="shared" si="28"/>
      </c>
      <c r="AG102" s="423"/>
      <c r="AH102" s="423"/>
      <c r="AI102" s="423"/>
      <c r="AJ102" s="423"/>
      <c r="AK102" s="423"/>
      <c r="AL102" s="423"/>
      <c r="AM102" s="423"/>
      <c r="AN102" s="423"/>
      <c r="AO102" s="423"/>
      <c r="AP102" s="423"/>
      <c r="AQ102" s="423"/>
    </row>
    <row r="103" spans="1:43" s="522" customFormat="1" ht="12.75" customHeight="1">
      <c r="A103" s="4"/>
      <c r="B103" s="5"/>
      <c r="C103" s="29">
        <v>5</v>
      </c>
      <c r="D103" s="931">
        <f t="shared" si="19"/>
      </c>
      <c r="E103" s="932"/>
      <c r="F103" s="932"/>
      <c r="G103" s="933"/>
      <c r="H103" s="64">
        <f t="shared" si="20"/>
      </c>
      <c r="I103" s="486">
        <f t="shared" si="29"/>
      </c>
      <c r="J103" s="486">
        <f t="shared" si="21"/>
      </c>
      <c r="K103" s="5"/>
      <c r="L103" s="323"/>
      <c r="M103" s="323"/>
      <c r="N103" s="378"/>
      <c r="O103" s="323"/>
      <c r="P103" s="321"/>
      <c r="Q103" s="451" t="str">
        <f t="shared" si="22"/>
        <v>CAPINI_</v>
      </c>
      <c r="R103" s="455"/>
      <c r="S103" s="441"/>
      <c r="T103" s="441"/>
      <c r="U103" s="441"/>
      <c r="V103" s="453">
        <f t="shared" si="30"/>
        <v>1</v>
      </c>
      <c r="W103" s="441"/>
      <c r="X103" s="460">
        <f>SUMIF(C_MergerSplitTransfer!$U$9:$U$68,$Q103,CHOOSE($V103,C_MergerSplitTransfer!I$9:I$68,C_MergerSplitTransfer!L$9:L$68))</f>
        <v>0</v>
      </c>
      <c r="Y103" s="460">
        <f>SUMIF(C_MergerSplitTransfer!$U$9:$U$68,$Q103,CHOOSE($V103,C_MergerSplitTransfer!J$9:J$68,C_MergerSplitTransfer!M$9:M$68))</f>
        <v>0</v>
      </c>
      <c r="Z103" s="423"/>
      <c r="AA103" s="451">
        <f t="shared" si="23"/>
      </c>
      <c r="AB103" s="451">
        <f t="shared" si="24"/>
      </c>
      <c r="AC103" s="451">
        <f t="shared" si="25"/>
      </c>
      <c r="AD103" s="451">
        <f t="shared" si="26"/>
      </c>
      <c r="AE103" s="451">
        <f t="shared" si="27"/>
      </c>
      <c r="AF103" s="451">
        <f t="shared" si="28"/>
      </c>
      <c r="AG103" s="423"/>
      <c r="AH103" s="423"/>
      <c r="AI103" s="423"/>
      <c r="AJ103" s="423"/>
      <c r="AK103" s="423"/>
      <c r="AL103" s="423"/>
      <c r="AM103" s="423"/>
      <c r="AN103" s="423"/>
      <c r="AO103" s="423"/>
      <c r="AP103" s="423"/>
      <c r="AQ103" s="423"/>
    </row>
    <row r="104" spans="1:43" s="522" customFormat="1" ht="12.75" customHeight="1">
      <c r="A104" s="4"/>
      <c r="B104" s="5"/>
      <c r="C104" s="29">
        <v>6</v>
      </c>
      <c r="D104" s="931">
        <f t="shared" si="19"/>
      </c>
      <c r="E104" s="932"/>
      <c r="F104" s="932"/>
      <c r="G104" s="933"/>
      <c r="H104" s="64">
        <f t="shared" si="20"/>
      </c>
      <c r="I104" s="486">
        <f t="shared" si="29"/>
      </c>
      <c r="J104" s="486">
        <f t="shared" si="21"/>
      </c>
      <c r="K104" s="5"/>
      <c r="L104" s="323"/>
      <c r="M104" s="323"/>
      <c r="N104" s="323"/>
      <c r="O104" s="323"/>
      <c r="P104" s="9"/>
      <c r="Q104" s="451" t="str">
        <f t="shared" si="22"/>
        <v>CAPINI_</v>
      </c>
      <c r="R104" s="455"/>
      <c r="S104" s="441"/>
      <c r="T104" s="441"/>
      <c r="U104" s="441"/>
      <c r="V104" s="453">
        <f t="shared" si="30"/>
        <v>1</v>
      </c>
      <c r="W104" s="441"/>
      <c r="X104" s="460">
        <f>SUMIF(C_MergerSplitTransfer!$U$9:$U$68,$Q104,CHOOSE($V104,C_MergerSplitTransfer!I$9:I$68,C_MergerSplitTransfer!L$9:L$68))</f>
        <v>0</v>
      </c>
      <c r="Y104" s="460">
        <f>SUMIF(C_MergerSplitTransfer!$U$9:$U$68,$Q104,CHOOSE($V104,C_MergerSplitTransfer!J$9:J$68,C_MergerSplitTransfer!M$9:M$68))</f>
        <v>0</v>
      </c>
      <c r="Z104" s="423"/>
      <c r="AA104" s="451">
        <f t="shared" si="23"/>
      </c>
      <c r="AB104" s="451">
        <f t="shared" si="24"/>
      </c>
      <c r="AC104" s="451">
        <f t="shared" si="25"/>
      </c>
      <c r="AD104" s="451">
        <f t="shared" si="26"/>
      </c>
      <c r="AE104" s="451">
        <f t="shared" si="27"/>
      </c>
      <c r="AF104" s="451">
        <f t="shared" si="28"/>
      </c>
      <c r="AG104" s="423"/>
      <c r="AH104" s="423"/>
      <c r="AI104" s="423"/>
      <c r="AJ104" s="423"/>
      <c r="AK104" s="423"/>
      <c r="AL104" s="423"/>
      <c r="AM104" s="423"/>
      <c r="AN104" s="423"/>
      <c r="AO104" s="423"/>
      <c r="AP104" s="423"/>
      <c r="AQ104" s="423"/>
    </row>
    <row r="105" spans="1:43" s="522" customFormat="1" ht="12.75" customHeight="1">
      <c r="A105" s="4"/>
      <c r="B105" s="5"/>
      <c r="C105" s="29">
        <v>7</v>
      </c>
      <c r="D105" s="931">
        <f t="shared" si="19"/>
      </c>
      <c r="E105" s="932"/>
      <c r="F105" s="932"/>
      <c r="G105" s="933"/>
      <c r="H105" s="64">
        <f t="shared" si="20"/>
      </c>
      <c r="I105" s="486">
        <f t="shared" si="29"/>
      </c>
      <c r="J105" s="486">
        <f t="shared" si="21"/>
      </c>
      <c r="K105" s="5"/>
      <c r="L105" s="323"/>
      <c r="M105" s="323"/>
      <c r="N105" s="323"/>
      <c r="O105" s="323"/>
      <c r="P105" s="9"/>
      <c r="Q105" s="451" t="str">
        <f t="shared" si="22"/>
        <v>CAPINI_</v>
      </c>
      <c r="R105" s="455"/>
      <c r="S105" s="441"/>
      <c r="T105" s="441"/>
      <c r="U105" s="441"/>
      <c r="V105" s="453">
        <f t="shared" si="30"/>
        <v>1</v>
      </c>
      <c r="W105" s="441"/>
      <c r="X105" s="460">
        <f>SUMIF(C_MergerSplitTransfer!$U$9:$U$68,$Q105,CHOOSE($V105,C_MergerSplitTransfer!I$9:I$68,C_MergerSplitTransfer!L$9:L$68))</f>
        <v>0</v>
      </c>
      <c r="Y105" s="460">
        <f>SUMIF(C_MergerSplitTransfer!$U$9:$U$68,$Q105,CHOOSE($V105,C_MergerSplitTransfer!J$9:J$68,C_MergerSplitTransfer!M$9:M$68))</f>
        <v>0</v>
      </c>
      <c r="Z105" s="423"/>
      <c r="AA105" s="451">
        <f t="shared" si="23"/>
      </c>
      <c r="AB105" s="451">
        <f t="shared" si="24"/>
      </c>
      <c r="AC105" s="451">
        <f t="shared" si="25"/>
      </c>
      <c r="AD105" s="451">
        <f t="shared" si="26"/>
      </c>
      <c r="AE105" s="451">
        <f t="shared" si="27"/>
      </c>
      <c r="AF105" s="451">
        <f t="shared" si="28"/>
      </c>
      <c r="AG105" s="423"/>
      <c r="AH105" s="423"/>
      <c r="AI105" s="423"/>
      <c r="AJ105" s="423"/>
      <c r="AK105" s="423"/>
      <c r="AL105" s="423"/>
      <c r="AM105" s="423"/>
      <c r="AN105" s="423"/>
      <c r="AO105" s="423"/>
      <c r="AP105" s="423"/>
      <c r="AQ105" s="423"/>
    </row>
    <row r="106" spans="1:43" s="522" customFormat="1" ht="12.75" customHeight="1">
      <c r="A106" s="4"/>
      <c r="B106" s="5"/>
      <c r="C106" s="29">
        <v>8</v>
      </c>
      <c r="D106" s="931">
        <f t="shared" si="19"/>
      </c>
      <c r="E106" s="932"/>
      <c r="F106" s="932"/>
      <c r="G106" s="933"/>
      <c r="H106" s="64">
        <f t="shared" si="20"/>
      </c>
      <c r="I106" s="486">
        <f t="shared" si="29"/>
      </c>
      <c r="J106" s="486">
        <f t="shared" si="21"/>
      </c>
      <c r="K106" s="5"/>
      <c r="L106" s="323"/>
      <c r="M106" s="323"/>
      <c r="N106" s="323"/>
      <c r="O106" s="323"/>
      <c r="P106" s="9"/>
      <c r="Q106" s="451" t="str">
        <f t="shared" si="22"/>
        <v>CAPINI_</v>
      </c>
      <c r="R106" s="455"/>
      <c r="S106" s="441"/>
      <c r="T106" s="441"/>
      <c r="U106" s="441"/>
      <c r="V106" s="453">
        <f t="shared" si="30"/>
        <v>1</v>
      </c>
      <c r="W106" s="441"/>
      <c r="X106" s="460">
        <f>SUMIF(C_MergerSplitTransfer!$U$9:$U$68,$Q106,CHOOSE($V106,C_MergerSplitTransfer!I$9:I$68,C_MergerSplitTransfer!L$9:L$68))</f>
        <v>0</v>
      </c>
      <c r="Y106" s="460">
        <f>SUMIF(C_MergerSplitTransfer!$U$9:$U$68,$Q106,CHOOSE($V106,C_MergerSplitTransfer!J$9:J$68,C_MergerSplitTransfer!M$9:M$68))</f>
        <v>0</v>
      </c>
      <c r="Z106" s="423"/>
      <c r="AA106" s="451">
        <f t="shared" si="23"/>
      </c>
      <c r="AB106" s="451">
        <f t="shared" si="24"/>
      </c>
      <c r="AC106" s="451">
        <f t="shared" si="25"/>
      </c>
      <c r="AD106" s="451">
        <f t="shared" si="26"/>
      </c>
      <c r="AE106" s="451">
        <f t="shared" si="27"/>
      </c>
      <c r="AF106" s="451">
        <f t="shared" si="28"/>
      </c>
      <c r="AG106" s="423"/>
      <c r="AH106" s="423"/>
      <c r="AI106" s="423"/>
      <c r="AJ106" s="423"/>
      <c r="AK106" s="423"/>
      <c r="AL106" s="423"/>
      <c r="AM106" s="423"/>
      <c r="AN106" s="423"/>
      <c r="AO106" s="423"/>
      <c r="AP106" s="423"/>
      <c r="AQ106" s="423"/>
    </row>
    <row r="107" spans="1:43" s="522" customFormat="1" ht="12.75" customHeight="1">
      <c r="A107" s="4"/>
      <c r="B107" s="5"/>
      <c r="C107" s="29">
        <v>9</v>
      </c>
      <c r="D107" s="931">
        <f t="shared" si="19"/>
      </c>
      <c r="E107" s="932"/>
      <c r="F107" s="932"/>
      <c r="G107" s="933"/>
      <c r="H107" s="64">
        <f t="shared" si="20"/>
      </c>
      <c r="I107" s="486">
        <f t="shared" si="29"/>
      </c>
      <c r="J107" s="486">
        <f t="shared" si="21"/>
      </c>
      <c r="K107" s="5"/>
      <c r="L107" s="323"/>
      <c r="M107" s="323"/>
      <c r="N107" s="323"/>
      <c r="O107" s="323"/>
      <c r="P107" s="9"/>
      <c r="Q107" s="451" t="str">
        <f t="shared" si="22"/>
        <v>CAPINI_</v>
      </c>
      <c r="R107" s="455"/>
      <c r="S107" s="441"/>
      <c r="T107" s="441"/>
      <c r="U107" s="441"/>
      <c r="V107" s="453">
        <f t="shared" si="30"/>
        <v>1</v>
      </c>
      <c r="W107" s="441"/>
      <c r="X107" s="460">
        <f>SUMIF(C_MergerSplitTransfer!$U$9:$U$68,$Q107,CHOOSE($V107,C_MergerSplitTransfer!I$9:I$68,C_MergerSplitTransfer!L$9:L$68))</f>
        <v>0</v>
      </c>
      <c r="Y107" s="460">
        <f>SUMIF(C_MergerSplitTransfer!$U$9:$U$68,$Q107,CHOOSE($V107,C_MergerSplitTransfer!J$9:J$68,C_MergerSplitTransfer!M$9:M$68))</f>
        <v>0</v>
      </c>
      <c r="Z107" s="423"/>
      <c r="AA107" s="451">
        <f t="shared" si="23"/>
      </c>
      <c r="AB107" s="451">
        <f t="shared" si="24"/>
      </c>
      <c r="AC107" s="451">
        <f t="shared" si="25"/>
      </c>
      <c r="AD107" s="451">
        <f t="shared" si="26"/>
      </c>
      <c r="AE107" s="451">
        <f t="shared" si="27"/>
      </c>
      <c r="AF107" s="451">
        <f t="shared" si="28"/>
      </c>
      <c r="AG107" s="423"/>
      <c r="AH107" s="423"/>
      <c r="AI107" s="423"/>
      <c r="AJ107" s="423"/>
      <c r="AK107" s="423"/>
      <c r="AL107" s="423"/>
      <c r="AM107" s="423"/>
      <c r="AN107" s="423"/>
      <c r="AO107" s="423"/>
      <c r="AP107" s="423"/>
      <c r="AQ107" s="423"/>
    </row>
    <row r="108" spans="1:43" s="522" customFormat="1" ht="12.75" customHeight="1">
      <c r="A108" s="4"/>
      <c r="B108" s="5"/>
      <c r="C108" s="25">
        <v>10</v>
      </c>
      <c r="D108" s="962">
        <f t="shared" si="19"/>
      </c>
      <c r="E108" s="963"/>
      <c r="F108" s="963"/>
      <c r="G108" s="964"/>
      <c r="H108" s="63">
        <f t="shared" si="20"/>
      </c>
      <c r="I108" s="487">
        <f t="shared" si="29"/>
      </c>
      <c r="J108" s="487">
        <f t="shared" si="21"/>
      </c>
      <c r="K108" s="5"/>
      <c r="L108" s="323"/>
      <c r="M108" s="323"/>
      <c r="N108" s="323"/>
      <c r="O108" s="323"/>
      <c r="P108" s="9"/>
      <c r="Q108" s="451" t="str">
        <f t="shared" si="22"/>
        <v>CAPINI_</v>
      </c>
      <c r="R108" s="455"/>
      <c r="S108" s="441"/>
      <c r="T108" s="441"/>
      <c r="U108" s="441"/>
      <c r="V108" s="453">
        <f t="shared" si="30"/>
        <v>1</v>
      </c>
      <c r="W108" s="441"/>
      <c r="X108" s="460">
        <f>SUMIF(C_MergerSplitTransfer!$U$9:$U$68,$Q108,CHOOSE($V108,C_MergerSplitTransfer!I$9:I$68,C_MergerSplitTransfer!L$9:L$68))</f>
        <v>0</v>
      </c>
      <c r="Y108" s="460">
        <f>SUMIF(C_MergerSplitTransfer!$U$9:$U$68,$Q108,CHOOSE($V108,C_MergerSplitTransfer!J$9:J$68,C_MergerSplitTransfer!M$9:M$68))</f>
        <v>0</v>
      </c>
      <c r="Z108" s="423"/>
      <c r="AA108" s="451">
        <f t="shared" si="23"/>
      </c>
      <c r="AB108" s="451">
        <f t="shared" si="24"/>
      </c>
      <c r="AC108" s="451">
        <f t="shared" si="25"/>
      </c>
      <c r="AD108" s="451">
        <f t="shared" si="26"/>
      </c>
      <c r="AE108" s="451">
        <f t="shared" si="27"/>
      </c>
      <c r="AF108" s="451">
        <f t="shared" si="28"/>
      </c>
      <c r="AG108" s="423"/>
      <c r="AH108" s="423"/>
      <c r="AI108" s="423"/>
      <c r="AJ108" s="423"/>
      <c r="AK108" s="423"/>
      <c r="AL108" s="423"/>
      <c r="AM108" s="423"/>
      <c r="AN108" s="423"/>
      <c r="AO108" s="423"/>
      <c r="AP108" s="423"/>
      <c r="AQ108" s="423"/>
    </row>
    <row r="109" spans="1:43" s="522" customFormat="1" ht="25.5" customHeight="1">
      <c r="A109" s="4"/>
      <c r="B109" s="5"/>
      <c r="C109" s="29">
        <v>11</v>
      </c>
      <c r="D109" s="937" t="str">
        <f aca="true" t="shared" si="31" ref="D109:D114">INDEX(EUconst_FallBackListNames,C109-10)</f>
        <v>Sous-installation avec référentiel de chaleur, CL (risque de fuite de carbone)</v>
      </c>
      <c r="E109" s="938"/>
      <c r="F109" s="938"/>
      <c r="G109" s="939"/>
      <c r="H109" s="65" t="str">
        <f aca="true" t="shared" si="32" ref="H109:H114">IF(D109&lt;&gt;"",INDEX(EUconst_FallBackListUnits,MATCH($D109,EUconst_FallBackListNames,0))&amp;" / "&amp;EUconst_Year,"")</f>
        <v>TJ / année</v>
      </c>
      <c r="I109" s="485">
        <f t="shared" si="29"/>
      </c>
      <c r="J109" s="485">
        <f t="shared" si="21"/>
      </c>
      <c r="K109" s="5"/>
      <c r="L109" s="323"/>
      <c r="M109" s="323"/>
      <c r="N109" s="323"/>
      <c r="O109" s="323"/>
      <c r="P109" s="9"/>
      <c r="Q109" s="451" t="str">
        <f t="shared" si="22"/>
        <v>CAPINI_Sous-installation avec référentiel de chaleur, CL (risque de fuite de carbone)</v>
      </c>
      <c r="R109" s="455"/>
      <c r="S109" s="441"/>
      <c r="T109" s="441"/>
      <c r="U109" s="441"/>
      <c r="V109" s="453">
        <f t="shared" si="30"/>
        <v>1</v>
      </c>
      <c r="W109" s="441"/>
      <c r="X109" s="460">
        <f>SUMIF(C_MergerSplitTransfer!$U$9:$U$68,$Q109,CHOOSE($V109,C_MergerSplitTransfer!I$9:I$68,C_MergerSplitTransfer!L$9:L$68))</f>
        <v>0</v>
      </c>
      <c r="Y109" s="460">
        <f>SUMIF(C_MergerSplitTransfer!$U$9:$U$68,$Q109,CHOOSE($V109,C_MergerSplitTransfer!J$9:J$68,C_MergerSplitTransfer!M$9:M$68))</f>
        <v>0</v>
      </c>
      <c r="Z109" s="423"/>
      <c r="AA109" s="451" t="b">
        <v>1</v>
      </c>
      <c r="AB109" s="451">
        <f>EUwideConstants!$C$304</f>
        <v>91</v>
      </c>
      <c r="AC109" s="451">
        <f>EUwideConstants!$H$304</f>
        <v>62.3</v>
      </c>
      <c r="AD109" s="451" t="str">
        <f aca="true" t="shared" si="33" ref="AD109:AD114">EUconst_EUA&amp;" / "&amp;AE109</f>
        <v>EUA / TJ</v>
      </c>
      <c r="AE109" s="451" t="str">
        <f>EUconst_TJ</f>
        <v>TJ</v>
      </c>
      <c r="AF109" s="451" t="str">
        <f aca="true" t="shared" si="34" ref="AF109:AF114">AE109&amp;" / "&amp;EUconst_Year</f>
        <v>TJ / année</v>
      </c>
      <c r="AG109" s="423"/>
      <c r="AH109" s="423"/>
      <c r="AI109" s="423"/>
      <c r="AJ109" s="423"/>
      <c r="AK109" s="423"/>
      <c r="AL109" s="423"/>
      <c r="AM109" s="423"/>
      <c r="AN109" s="423"/>
      <c r="AO109" s="423"/>
      <c r="AP109" s="423"/>
      <c r="AQ109" s="423"/>
    </row>
    <row r="110" spans="1:43" s="522" customFormat="1" ht="25.5" customHeight="1">
      <c r="A110" s="4"/>
      <c r="B110" s="5"/>
      <c r="C110" s="29">
        <v>12</v>
      </c>
      <c r="D110" s="940" t="str">
        <f t="shared" si="31"/>
        <v>Sous-installation avec référentiel de chaleur, non-CL (sans risque de fuite de carbone)</v>
      </c>
      <c r="E110" s="941"/>
      <c r="F110" s="941"/>
      <c r="G110" s="942"/>
      <c r="H110" s="64" t="str">
        <f t="shared" si="32"/>
        <v>TJ / année</v>
      </c>
      <c r="I110" s="486">
        <f t="shared" si="29"/>
      </c>
      <c r="J110" s="486">
        <f t="shared" si="21"/>
      </c>
      <c r="K110" s="5"/>
      <c r="L110" s="323"/>
      <c r="M110" s="323"/>
      <c r="N110" s="323"/>
      <c r="O110" s="323"/>
      <c r="P110" s="9"/>
      <c r="Q110" s="451" t="str">
        <f t="shared" si="22"/>
        <v>CAPINI_Sous-installation avec référentiel de chaleur, non-CL (sans risque de fuite de carbone)</v>
      </c>
      <c r="R110" s="455"/>
      <c r="S110" s="441"/>
      <c r="T110" s="441"/>
      <c r="U110" s="441"/>
      <c r="V110" s="453">
        <f t="shared" si="30"/>
        <v>1</v>
      </c>
      <c r="W110" s="441"/>
      <c r="X110" s="460">
        <f>SUMIF(C_MergerSplitTransfer!$U$9:$U$68,$Q110,CHOOSE($V110,C_MergerSplitTransfer!I$9:I$68,C_MergerSplitTransfer!L$9:L$68))</f>
        <v>0</v>
      </c>
      <c r="Y110" s="460">
        <f>SUMIF(C_MergerSplitTransfer!$U$9:$U$68,$Q110,CHOOSE($V110,C_MergerSplitTransfer!J$9:J$68,C_MergerSplitTransfer!M$9:M$68))</f>
        <v>0</v>
      </c>
      <c r="Z110" s="423"/>
      <c r="AA110" s="451" t="b">
        <v>0</v>
      </c>
      <c r="AB110" s="451">
        <f>EUwideConstants!$C$305</f>
        <v>92</v>
      </c>
      <c r="AC110" s="451">
        <f>EUwideConstants!$H$305</f>
        <v>62.3</v>
      </c>
      <c r="AD110" s="451" t="str">
        <f t="shared" si="33"/>
        <v>EUA / TJ</v>
      </c>
      <c r="AE110" s="451" t="str">
        <f>EUconst_TJ</f>
        <v>TJ</v>
      </c>
      <c r="AF110" s="451" t="str">
        <f t="shared" si="34"/>
        <v>TJ / année</v>
      </c>
      <c r="AG110" s="423"/>
      <c r="AH110" s="423"/>
      <c r="AI110" s="423"/>
      <c r="AJ110" s="423"/>
      <c r="AK110" s="423"/>
      <c r="AL110" s="423"/>
      <c r="AM110" s="423"/>
      <c r="AN110" s="423"/>
      <c r="AO110" s="423"/>
      <c r="AP110" s="423"/>
      <c r="AQ110" s="423"/>
    </row>
    <row r="111" spans="1:43" s="522" customFormat="1" ht="25.5" customHeight="1">
      <c r="A111" s="4"/>
      <c r="B111" s="5"/>
      <c r="C111" s="29">
        <v>13</v>
      </c>
      <c r="D111" s="940" t="str">
        <f t="shared" si="31"/>
        <v>Sous-installation avec référentiel de combustibles, CL</v>
      </c>
      <c r="E111" s="941"/>
      <c r="F111" s="941"/>
      <c r="G111" s="942"/>
      <c r="H111" s="64" t="str">
        <f t="shared" si="32"/>
        <v>TJ / année</v>
      </c>
      <c r="I111" s="486">
        <f t="shared" si="29"/>
      </c>
      <c r="J111" s="486">
        <f t="shared" si="21"/>
      </c>
      <c r="K111" s="5"/>
      <c r="L111" s="323"/>
      <c r="M111" s="323"/>
      <c r="N111" s="323"/>
      <c r="O111" s="323"/>
      <c r="P111" s="9"/>
      <c r="Q111" s="451" t="str">
        <f t="shared" si="22"/>
        <v>CAPINI_Sous-installation avec référentiel de combustibles, CL</v>
      </c>
      <c r="R111" s="455"/>
      <c r="S111" s="441"/>
      <c r="T111" s="441"/>
      <c r="U111" s="441"/>
      <c r="V111" s="453">
        <f t="shared" si="30"/>
        <v>1</v>
      </c>
      <c r="W111" s="441"/>
      <c r="X111" s="460">
        <f>SUMIF(C_MergerSplitTransfer!$U$9:$U$68,$Q111,CHOOSE($V111,C_MergerSplitTransfer!I$9:I$68,C_MergerSplitTransfer!L$9:L$68))</f>
        <v>0</v>
      </c>
      <c r="Y111" s="460">
        <f>SUMIF(C_MergerSplitTransfer!$U$9:$U$68,$Q111,CHOOSE($V111,C_MergerSplitTransfer!J$9:J$68,C_MergerSplitTransfer!M$9:M$68))</f>
        <v>0</v>
      </c>
      <c r="Z111" s="423"/>
      <c r="AA111" s="451" t="b">
        <v>1</v>
      </c>
      <c r="AB111" s="451">
        <f>EUwideConstants!$C$306</f>
        <v>93</v>
      </c>
      <c r="AC111" s="451">
        <f>EUwideConstants!$H$306</f>
        <v>56.1</v>
      </c>
      <c r="AD111" s="451" t="str">
        <f t="shared" si="33"/>
        <v>EUA / TJ</v>
      </c>
      <c r="AE111" s="451" t="str">
        <f>EUconst_TJ</f>
        <v>TJ</v>
      </c>
      <c r="AF111" s="451" t="str">
        <f t="shared" si="34"/>
        <v>TJ / année</v>
      </c>
      <c r="AG111" s="423"/>
      <c r="AH111" s="423"/>
      <c r="AI111" s="423"/>
      <c r="AJ111" s="423"/>
      <c r="AK111" s="423"/>
      <c r="AL111" s="423"/>
      <c r="AM111" s="423"/>
      <c r="AN111" s="423"/>
      <c r="AO111" s="423"/>
      <c r="AP111" s="423"/>
      <c r="AQ111" s="423"/>
    </row>
    <row r="112" spans="1:43" s="522" customFormat="1" ht="25.5" customHeight="1">
      <c r="A112" s="4"/>
      <c r="B112" s="5"/>
      <c r="C112" s="29">
        <v>14</v>
      </c>
      <c r="D112" s="940" t="str">
        <f t="shared" si="31"/>
        <v>Sous-installation avec référentiel de combustibles, non-CL</v>
      </c>
      <c r="E112" s="941"/>
      <c r="F112" s="941"/>
      <c r="G112" s="942"/>
      <c r="H112" s="64" t="str">
        <f t="shared" si="32"/>
        <v>TJ / année</v>
      </c>
      <c r="I112" s="486">
        <f t="shared" si="29"/>
      </c>
      <c r="J112" s="486">
        <f t="shared" si="21"/>
      </c>
      <c r="K112" s="5"/>
      <c r="L112" s="323"/>
      <c r="M112" s="323"/>
      <c r="N112" s="323"/>
      <c r="O112" s="323"/>
      <c r="P112" s="9"/>
      <c r="Q112" s="451" t="str">
        <f t="shared" si="22"/>
        <v>CAPINI_Sous-installation avec référentiel de combustibles, non-CL</v>
      </c>
      <c r="R112" s="455"/>
      <c r="S112" s="441"/>
      <c r="T112" s="441"/>
      <c r="U112" s="441"/>
      <c r="V112" s="453">
        <f t="shared" si="30"/>
        <v>1</v>
      </c>
      <c r="W112" s="441"/>
      <c r="X112" s="460">
        <f>SUMIF(C_MergerSplitTransfer!$U$9:$U$68,$Q112,CHOOSE($V112,C_MergerSplitTransfer!I$9:I$68,C_MergerSplitTransfer!L$9:L$68))</f>
        <v>0</v>
      </c>
      <c r="Y112" s="460">
        <f>SUMIF(C_MergerSplitTransfer!$U$9:$U$68,$Q112,CHOOSE($V112,C_MergerSplitTransfer!J$9:J$68,C_MergerSplitTransfer!M$9:M$68))</f>
        <v>0</v>
      </c>
      <c r="Z112" s="423"/>
      <c r="AA112" s="451" t="b">
        <v>0</v>
      </c>
      <c r="AB112" s="451">
        <f>EUwideConstants!$C$307</f>
        <v>94</v>
      </c>
      <c r="AC112" s="451">
        <f>EUwideConstants!$H$307</f>
        <v>56.1</v>
      </c>
      <c r="AD112" s="451" t="str">
        <f t="shared" si="33"/>
        <v>EUA / TJ</v>
      </c>
      <c r="AE112" s="451" t="str">
        <f>EUconst_TJ</f>
        <v>TJ</v>
      </c>
      <c r="AF112" s="451" t="str">
        <f t="shared" si="34"/>
        <v>TJ / année</v>
      </c>
      <c r="AG112" s="423"/>
      <c r="AH112" s="423"/>
      <c r="AI112" s="423"/>
      <c r="AJ112" s="423"/>
      <c r="AK112" s="423"/>
      <c r="AL112" s="423"/>
      <c r="AM112" s="423"/>
      <c r="AN112" s="423"/>
      <c r="AO112" s="423"/>
      <c r="AP112" s="423"/>
      <c r="AQ112" s="423"/>
    </row>
    <row r="113" spans="1:43" s="522" customFormat="1" ht="12.75" customHeight="1">
      <c r="A113" s="4"/>
      <c r="B113" s="5"/>
      <c r="C113" s="29">
        <v>15</v>
      </c>
      <c r="D113" s="940" t="str">
        <f t="shared" si="31"/>
        <v>Sous-installation avec émissions de procédé, CL</v>
      </c>
      <c r="E113" s="941"/>
      <c r="F113" s="941"/>
      <c r="G113" s="942"/>
      <c r="H113" s="64" t="str">
        <f t="shared" si="32"/>
        <v>t CO2e / année</v>
      </c>
      <c r="I113" s="486">
        <f t="shared" si="29"/>
      </c>
      <c r="J113" s="486">
        <f t="shared" si="21"/>
      </c>
      <c r="K113" s="5"/>
      <c r="L113" s="323"/>
      <c r="M113" s="323"/>
      <c r="N113" s="323"/>
      <c r="O113" s="323"/>
      <c r="P113" s="9"/>
      <c r="Q113" s="451" t="str">
        <f t="shared" si="22"/>
        <v>CAPINI_Sous-installation avec émissions de procédé, CL</v>
      </c>
      <c r="R113" s="455"/>
      <c r="S113" s="441"/>
      <c r="T113" s="441"/>
      <c r="U113" s="441"/>
      <c r="V113" s="453">
        <f t="shared" si="30"/>
        <v>1</v>
      </c>
      <c r="W113" s="441"/>
      <c r="X113" s="460">
        <f>SUMIF(C_MergerSplitTransfer!$U$9:$U$68,$Q113,CHOOSE($V113,C_MergerSplitTransfer!I$9:I$68,C_MergerSplitTransfer!L$9:L$68))</f>
        <v>0</v>
      </c>
      <c r="Y113" s="460">
        <f>SUMIF(C_MergerSplitTransfer!$U$9:$U$68,$Q113,CHOOSE($V113,C_MergerSplitTransfer!J$9:J$68,C_MergerSplitTransfer!M$9:M$68))</f>
        <v>0</v>
      </c>
      <c r="Z113" s="423"/>
      <c r="AA113" s="451" t="b">
        <v>1</v>
      </c>
      <c r="AB113" s="451">
        <f>EUwideConstants!$C$308</f>
        <v>95</v>
      </c>
      <c r="AC113" s="451">
        <f>EUwideConstants!$H$308</f>
        <v>0.97</v>
      </c>
      <c r="AD113" s="451" t="str">
        <f t="shared" si="33"/>
        <v>EUA / t CO2e</v>
      </c>
      <c r="AE113" s="451" t="str">
        <f>EUconst_tCO2e</f>
        <v>t CO2e</v>
      </c>
      <c r="AF113" s="451" t="str">
        <f t="shared" si="34"/>
        <v>t CO2e / année</v>
      </c>
      <c r="AG113" s="423"/>
      <c r="AH113" s="423"/>
      <c r="AI113" s="423"/>
      <c r="AJ113" s="423"/>
      <c r="AK113" s="423"/>
      <c r="AL113" s="423"/>
      <c r="AM113" s="423"/>
      <c r="AN113" s="423"/>
      <c r="AO113" s="423"/>
      <c r="AP113" s="423"/>
      <c r="AQ113" s="423"/>
    </row>
    <row r="114" spans="1:43" s="522" customFormat="1" ht="25.5" customHeight="1" thickBot="1">
      <c r="A114" s="4"/>
      <c r="B114" s="5"/>
      <c r="C114" s="25">
        <v>16</v>
      </c>
      <c r="D114" s="934" t="str">
        <f t="shared" si="31"/>
        <v>Sous-installation avec émissions de procédé, non-CL</v>
      </c>
      <c r="E114" s="935"/>
      <c r="F114" s="935"/>
      <c r="G114" s="936"/>
      <c r="H114" s="63" t="str">
        <f t="shared" si="32"/>
        <v>t CO2e / année</v>
      </c>
      <c r="I114" s="487">
        <f t="shared" si="29"/>
      </c>
      <c r="J114" s="487">
        <f t="shared" si="21"/>
      </c>
      <c r="K114" s="5"/>
      <c r="L114" s="323"/>
      <c r="M114" s="323"/>
      <c r="N114" s="323"/>
      <c r="O114" s="323"/>
      <c r="P114" s="9"/>
      <c r="Q114" s="451" t="str">
        <f t="shared" si="22"/>
        <v>CAPINI_Sous-installation avec émissions de procédé, non-CL</v>
      </c>
      <c r="R114" s="455"/>
      <c r="S114" s="441"/>
      <c r="T114" s="441"/>
      <c r="U114" s="441"/>
      <c r="V114" s="454">
        <f t="shared" si="30"/>
        <v>1</v>
      </c>
      <c r="W114" s="441"/>
      <c r="X114" s="460">
        <f>SUMIF(C_MergerSplitTransfer!$U$9:$U$68,$Q114,CHOOSE($V114,C_MergerSplitTransfer!I$9:I$68,C_MergerSplitTransfer!L$9:L$68))</f>
        <v>0</v>
      </c>
      <c r="Y114" s="460">
        <f>SUMIF(C_MergerSplitTransfer!$U$9:$U$68,$Q114,CHOOSE($V114,C_MergerSplitTransfer!J$9:J$68,C_MergerSplitTransfer!M$9:M$68))</f>
        <v>0</v>
      </c>
      <c r="Z114" s="423"/>
      <c r="AA114" s="451" t="b">
        <v>0</v>
      </c>
      <c r="AB114" s="451">
        <f>EUwideConstants!$C$309</f>
        <v>96</v>
      </c>
      <c r="AC114" s="451">
        <f>EUwideConstants!$H$309</f>
        <v>0.97</v>
      </c>
      <c r="AD114" s="451" t="str">
        <f t="shared" si="33"/>
        <v>EUA / t CO2e</v>
      </c>
      <c r="AE114" s="451" t="str">
        <f>EUconst_tCO2e</f>
        <v>t CO2e</v>
      </c>
      <c r="AF114" s="451" t="str">
        <f t="shared" si="34"/>
        <v>t CO2e / année</v>
      </c>
      <c r="AG114" s="423"/>
      <c r="AH114" s="423"/>
      <c r="AI114" s="423"/>
      <c r="AJ114" s="423"/>
      <c r="AK114" s="423"/>
      <c r="AL114" s="423"/>
      <c r="AM114" s="423"/>
      <c r="AN114" s="423"/>
      <c r="AO114" s="423"/>
      <c r="AP114" s="423"/>
      <c r="AQ114" s="423"/>
    </row>
    <row r="115" spans="1:43" s="522" customFormat="1" ht="12.75" customHeight="1">
      <c r="A115" s="4"/>
      <c r="B115" s="5"/>
      <c r="C115" s="7"/>
      <c r="D115" s="5"/>
      <c r="E115" s="5"/>
      <c r="F115" s="5"/>
      <c r="G115" s="5"/>
      <c r="H115" s="5"/>
      <c r="I115" s="5"/>
      <c r="J115" s="5"/>
      <c r="K115" s="5"/>
      <c r="L115" s="5"/>
      <c r="M115" s="9"/>
      <c r="N115" s="9"/>
      <c r="O115" s="315"/>
      <c r="P115" s="9"/>
      <c r="Q115" s="441"/>
      <c r="R115" s="455"/>
      <c r="S115" s="423"/>
      <c r="T115" s="423"/>
      <c r="U115" s="423"/>
      <c r="V115" s="423"/>
      <c r="W115" s="423"/>
      <c r="X115" s="423"/>
      <c r="Y115" s="423"/>
      <c r="Z115" s="423"/>
      <c r="AA115" s="423"/>
      <c r="AB115" s="423"/>
      <c r="AC115" s="423"/>
      <c r="AD115" s="423"/>
      <c r="AE115" s="423"/>
      <c r="AF115" s="423"/>
      <c r="AG115" s="423"/>
      <c r="AH115" s="423"/>
      <c r="AI115" s="423"/>
      <c r="AJ115" s="423"/>
      <c r="AK115" s="423"/>
      <c r="AL115" s="423"/>
      <c r="AM115" s="423"/>
      <c r="AN115" s="423"/>
      <c r="AO115" s="423"/>
      <c r="AP115" s="423"/>
      <c r="AQ115" s="423"/>
    </row>
    <row r="116" spans="1:43" s="522" customFormat="1" ht="12.75" customHeight="1" thickBot="1">
      <c r="A116" s="4"/>
      <c r="B116" s="5"/>
      <c r="C116" s="7"/>
      <c r="D116" s="5"/>
      <c r="E116" s="5"/>
      <c r="F116" s="5"/>
      <c r="G116" s="5"/>
      <c r="H116" s="5"/>
      <c r="I116" s="5"/>
      <c r="J116" s="5"/>
      <c r="K116" s="5"/>
      <c r="L116" s="5"/>
      <c r="M116" s="9"/>
      <c r="N116" s="9"/>
      <c r="O116" s="315"/>
      <c r="P116" s="9"/>
      <c r="Q116" s="441"/>
      <c r="R116" s="455"/>
      <c r="S116" s="423"/>
      <c r="T116" s="423"/>
      <c r="U116" s="423"/>
      <c r="V116" s="423"/>
      <c r="W116" s="423"/>
      <c r="X116" s="423"/>
      <c r="Y116" s="423"/>
      <c r="Z116" s="423"/>
      <c r="AA116" s="423"/>
      <c r="AB116" s="423"/>
      <c r="AC116" s="423"/>
      <c r="AD116" s="423"/>
      <c r="AE116" s="423"/>
      <c r="AF116" s="423"/>
      <c r="AG116" s="423"/>
      <c r="AH116" s="423"/>
      <c r="AI116" s="423"/>
      <c r="AJ116" s="423"/>
      <c r="AK116" s="423"/>
      <c r="AL116" s="423"/>
      <c r="AM116" s="423"/>
      <c r="AN116" s="423"/>
      <c r="AO116" s="423"/>
      <c r="AP116" s="423"/>
      <c r="AQ116" s="423"/>
    </row>
    <row r="117" spans="1:43" s="525" customFormat="1" ht="15" customHeight="1" thickBot="1">
      <c r="A117" s="207"/>
      <c r="B117" s="208"/>
      <c r="C117" s="549">
        <v>2</v>
      </c>
      <c r="D117" s="1066" t="str">
        <f>Translations!$B$1006</f>
        <v>Quantité finale prévue de quotas d'émission alloués à titre gratuit, donnée à titre indicatif:</v>
      </c>
      <c r="E117" s="1066"/>
      <c r="F117" s="1066"/>
      <c r="G117" s="1066"/>
      <c r="H117" s="1066"/>
      <c r="I117" s="1066"/>
      <c r="J117" s="1066"/>
      <c r="K117" s="1067"/>
      <c r="L117" s="1068">
        <f>CHOOSE(C117,$J$20,$J$24)</f>
      </c>
      <c r="M117" s="1069"/>
      <c r="N117" s="1070"/>
      <c r="O117" s="209"/>
      <c r="P117" s="209"/>
      <c r="Q117" s="493"/>
      <c r="R117" s="445"/>
      <c r="S117" s="445"/>
      <c r="T117" s="445"/>
      <c r="U117" s="445"/>
      <c r="V117" s="445"/>
      <c r="W117" s="445"/>
      <c r="X117" s="445"/>
      <c r="Y117" s="445"/>
      <c r="Z117" s="445"/>
      <c r="AA117" s="445"/>
      <c r="AB117" s="445"/>
      <c r="AC117" s="445"/>
      <c r="AD117" s="445"/>
      <c r="AE117" s="445"/>
      <c r="AF117" s="445"/>
      <c r="AG117" s="445"/>
      <c r="AH117" s="445"/>
      <c r="AI117" s="445"/>
      <c r="AJ117" s="445"/>
      <c r="AK117" s="445"/>
      <c r="AL117" s="445"/>
      <c r="AM117" s="445"/>
      <c r="AN117" s="445"/>
      <c r="AO117" s="445"/>
      <c r="AP117" s="445"/>
      <c r="AQ117" s="445"/>
    </row>
    <row r="118" spans="1:43" s="522" customFormat="1" ht="12.75" customHeight="1">
      <c r="A118" s="4"/>
      <c r="B118" s="5"/>
      <c r="C118" s="550"/>
      <c r="D118" s="1005" t="str">
        <f>Translations!$B$1583</f>
        <v>Les quantités indiquées ici résultent du calcul de la quantité totale finale de quotas alloués à titre gratuit à l’installation pour laquelle la présente demande est soumise.</v>
      </c>
      <c r="E118" s="1005"/>
      <c r="F118" s="1005"/>
      <c r="G118" s="1005"/>
      <c r="H118" s="1005"/>
      <c r="I118" s="1005"/>
      <c r="J118" s="1005"/>
      <c r="K118" s="1005"/>
      <c r="L118" s="1005"/>
      <c r="M118" s="1005"/>
      <c r="N118" s="1005"/>
      <c r="O118" s="9"/>
      <c r="P118" s="9"/>
      <c r="Q118" s="441"/>
      <c r="R118" s="423"/>
      <c r="S118" s="423"/>
      <c r="T118" s="423"/>
      <c r="U118" s="423"/>
      <c r="V118" s="423"/>
      <c r="W118" s="423"/>
      <c r="X118" s="423"/>
      <c r="Y118" s="423"/>
      <c r="Z118" s="423"/>
      <c r="AA118" s="423"/>
      <c r="AB118" s="423"/>
      <c r="AC118" s="423"/>
      <c r="AD118" s="423"/>
      <c r="AE118" s="423"/>
      <c r="AF118" s="423"/>
      <c r="AG118" s="423"/>
      <c r="AH118" s="423"/>
      <c r="AI118" s="423"/>
      <c r="AJ118" s="423"/>
      <c r="AK118" s="423"/>
      <c r="AL118" s="423"/>
      <c r="AM118" s="423"/>
      <c r="AN118" s="423"/>
      <c r="AO118" s="423"/>
      <c r="AP118" s="423"/>
      <c r="AQ118" s="423"/>
    </row>
    <row r="119" spans="1:43" s="522" customFormat="1" ht="25.5" customHeight="1">
      <c r="A119" s="4"/>
      <c r="B119" s="5"/>
      <c r="C119" s="550"/>
      <c r="D119" s="1006" t="str">
        <f>Translations!$B$1584</f>
        <v>Remarque: Les quantités indiquées ici correspondent aux quotas alloués à l’autre installation concernée et ne sont pertinentes que dans les cas de scissions ou de transferts de parties d’installations. Elles ne sont indiquées que par souci d’exhaustivité.</v>
      </c>
      <c r="E119" s="1006"/>
      <c r="F119" s="1006"/>
      <c r="G119" s="1006"/>
      <c r="H119" s="1006"/>
      <c r="I119" s="1006"/>
      <c r="J119" s="1006"/>
      <c r="K119" s="1006"/>
      <c r="L119" s="1006"/>
      <c r="M119" s="1006"/>
      <c r="N119" s="1006"/>
      <c r="O119" s="9"/>
      <c r="P119" s="9"/>
      <c r="Q119" s="441"/>
      <c r="R119" s="423"/>
      <c r="S119" s="423"/>
      <c r="T119" s="423"/>
      <c r="U119" s="423"/>
      <c r="V119" s="423"/>
      <c r="W119" s="423"/>
      <c r="X119" s="423"/>
      <c r="Y119" s="423"/>
      <c r="Z119" s="423"/>
      <c r="AA119" s="423"/>
      <c r="AB119" s="423"/>
      <c r="AC119" s="423"/>
      <c r="AD119" s="423"/>
      <c r="AE119" s="423"/>
      <c r="AF119" s="423"/>
      <c r="AG119" s="423"/>
      <c r="AH119" s="423"/>
      <c r="AI119" s="423"/>
      <c r="AJ119" s="423"/>
      <c r="AK119" s="423"/>
      <c r="AL119" s="423"/>
      <c r="AM119" s="423"/>
      <c r="AN119" s="423"/>
      <c r="AO119" s="423"/>
      <c r="AP119" s="423"/>
      <c r="AQ119" s="423"/>
    </row>
    <row r="120" spans="1:43" s="522" customFormat="1" ht="4.5" customHeight="1">
      <c r="A120" s="4"/>
      <c r="B120" s="5"/>
      <c r="C120" s="550"/>
      <c r="D120" s="550"/>
      <c r="E120" s="550"/>
      <c r="F120" s="550"/>
      <c r="G120" s="550"/>
      <c r="H120" s="550"/>
      <c r="I120" s="550"/>
      <c r="J120" s="550"/>
      <c r="K120" s="550"/>
      <c r="L120" s="550"/>
      <c r="M120" s="550"/>
      <c r="N120" s="550"/>
      <c r="O120" s="9"/>
      <c r="P120" s="9"/>
      <c r="Q120" s="441"/>
      <c r="R120" s="423"/>
      <c r="S120" s="423"/>
      <c r="T120" s="423"/>
      <c r="U120" s="423"/>
      <c r="V120" s="423"/>
      <c r="W120" s="423"/>
      <c r="X120" s="423"/>
      <c r="Y120" s="423"/>
      <c r="Z120" s="423"/>
      <c r="AA120" s="423"/>
      <c r="AB120" s="423"/>
      <c r="AC120" s="423"/>
      <c r="AD120" s="423"/>
      <c r="AE120" s="423"/>
      <c r="AF120" s="423"/>
      <c r="AG120" s="423"/>
      <c r="AH120" s="423"/>
      <c r="AI120" s="423"/>
      <c r="AJ120" s="423"/>
      <c r="AK120" s="423"/>
      <c r="AL120" s="423"/>
      <c r="AM120" s="423"/>
      <c r="AN120" s="423"/>
      <c r="AO120" s="423"/>
      <c r="AP120" s="423"/>
      <c r="AQ120" s="423"/>
    </row>
    <row r="121" spans="1:43" s="522" customFormat="1" ht="12.75" customHeight="1" thickBot="1">
      <c r="A121" s="4"/>
      <c r="B121" s="5"/>
      <c r="C121" s="551"/>
      <c r="D121" s="1027" t="str">
        <f>Translations!$B$440</f>
        <v>Sous-installation</v>
      </c>
      <c r="E121" s="1028"/>
      <c r="F121" s="1029"/>
      <c r="G121" s="552">
        <v>2013</v>
      </c>
      <c r="H121" s="552">
        <v>2014</v>
      </c>
      <c r="I121" s="552">
        <v>2015</v>
      </c>
      <c r="J121" s="552">
        <v>2016</v>
      </c>
      <c r="K121" s="552">
        <v>2017</v>
      </c>
      <c r="L121" s="552">
        <v>2018</v>
      </c>
      <c r="M121" s="552">
        <v>2019</v>
      </c>
      <c r="N121" s="552">
        <v>2020</v>
      </c>
      <c r="O121" s="323"/>
      <c r="P121" s="321"/>
      <c r="Q121" s="441"/>
      <c r="R121" s="423"/>
      <c r="S121" s="423"/>
      <c r="T121" s="449" t="s">
        <v>500</v>
      </c>
      <c r="U121" s="423"/>
      <c r="V121" s="449" t="s">
        <v>548</v>
      </c>
      <c r="W121" s="423"/>
      <c r="X121" s="424">
        <v>1</v>
      </c>
      <c r="Y121" s="425">
        <v>2013</v>
      </c>
      <c r="Z121" s="425">
        <v>2014</v>
      </c>
      <c r="AA121" s="425">
        <v>2015</v>
      </c>
      <c r="AB121" s="425">
        <v>2016</v>
      </c>
      <c r="AC121" s="425">
        <v>2017</v>
      </c>
      <c r="AD121" s="425">
        <v>2018</v>
      </c>
      <c r="AE121" s="425">
        <v>2019</v>
      </c>
      <c r="AF121" s="425">
        <v>2020</v>
      </c>
      <c r="AG121" s="423"/>
      <c r="AH121" s="424">
        <v>2</v>
      </c>
      <c r="AI121" s="425">
        <v>2013</v>
      </c>
      <c r="AJ121" s="425">
        <v>2014</v>
      </c>
      <c r="AK121" s="425">
        <v>2015</v>
      </c>
      <c r="AL121" s="425">
        <v>2016</v>
      </c>
      <c r="AM121" s="425">
        <v>2017</v>
      </c>
      <c r="AN121" s="425">
        <v>2018</v>
      </c>
      <c r="AO121" s="425">
        <v>2019</v>
      </c>
      <c r="AP121" s="425">
        <v>2020</v>
      </c>
      <c r="AQ121" s="423"/>
    </row>
    <row r="122" spans="1:43" s="522" customFormat="1" ht="12.75" customHeight="1" thickBot="1">
      <c r="A122" s="4"/>
      <c r="B122" s="5"/>
      <c r="C122" s="553">
        <v>0</v>
      </c>
      <c r="D122" s="1030" t="str">
        <f>Translations!$B$1447</f>
        <v>Phase antérieure au début</v>
      </c>
      <c r="E122" s="1031"/>
      <c r="F122" s="1032"/>
      <c r="G122" s="554">
        <f>IF(SUM(IF(ISERROR(Y122),0,Y122),IF(ISERROR(AI122),0,AI122))=0,"",ROUND(SUM(IF(ISERROR(Y122),0,Y122),IF(ISERROR(AI122),0,AI122)),0))</f>
      </c>
      <c r="H122" s="554">
        <f aca="true" t="shared" si="35" ref="H122:H139">IF(SUM(IF(ISERROR(Z122),0,Z122),IF(ISERROR(AJ122),0,AJ122))=0,"",ROUND(SUM(IF(ISERROR(Z122),0,Z122),IF(ISERROR(AJ122),0,AJ122)),0))</f>
      </c>
      <c r="I122" s="554">
        <f aca="true" t="shared" si="36" ref="I122:I139">IF(SUM(IF(ISERROR(AA122),0,AA122),IF(ISERROR(AK122),0,AK122))=0,"",ROUND(SUM(IF(ISERROR(AA122),0,AA122),IF(ISERROR(AK122),0,AK122)),0))</f>
      </c>
      <c r="J122" s="554">
        <f aca="true" t="shared" si="37" ref="J122:J139">IF(SUM(IF(ISERROR(AB122),0,AB122),IF(ISERROR(AL122),0,AL122))=0,"",ROUND(SUM(IF(ISERROR(AB122),0,AB122),IF(ISERROR(AL122),0,AL122)),0))</f>
      </c>
      <c r="K122" s="554">
        <f aca="true" t="shared" si="38" ref="K122:K139">IF(SUM(IF(ISERROR(AC122),0,AC122),IF(ISERROR(AM122),0,AM122))=0,"",ROUND(SUM(IF(ISERROR(AC122),0,AC122),IF(ISERROR(AM122),0,AM122)),0))</f>
      </c>
      <c r="L122" s="554">
        <f aca="true" t="shared" si="39" ref="L122:L139">IF(SUM(IF(ISERROR(AD122),0,AD122),IF(ISERROR(AN122),0,AN122))=0,"",ROUND(SUM(IF(ISERROR(AD122),0,AD122),IF(ISERROR(AN122),0,AN122)),0))</f>
      </c>
      <c r="M122" s="554">
        <f aca="true" t="shared" si="40" ref="M122:M139">IF(SUM(IF(ISERROR(AE122),0,AE122),IF(ISERROR(AO122),0,AO122))=0,"",ROUND(SUM(IF(ISERROR(AE122),0,AE122),IF(ISERROR(AO122),0,AO122)),0))</f>
      </c>
      <c r="N122" s="554">
        <f aca="true" t="shared" si="41" ref="N122:N139">IF(SUM(IF(ISERROR(AF122),0,AF122),IF(ISERROR(AP122),0,AP122))=0,"",ROUND(SUM(IF(ISERROR(AF122),0,AF122),IF(ISERROR(AP122),0,AP122)),0))</f>
      </c>
      <c r="O122" s="378"/>
      <c r="P122" s="321"/>
      <c r="Q122" s="451" t="str">
        <f aca="true" t="shared" si="42" ref="Q122:Q139">EUconst_CNTR_Finitial&amp;1&amp;"_"&amp;$D122</f>
        <v>FInitial_1_Phase antérieure au début</v>
      </c>
      <c r="R122" s="451" t="str">
        <f aca="true" t="shared" si="43" ref="R122:R139">EUconst_CNTR_Finitial&amp;2&amp;"_"&amp;$D122</f>
        <v>FInitial_2_Phase antérieure au début</v>
      </c>
      <c r="S122" s="423"/>
      <c r="T122" s="449"/>
      <c r="U122" s="423"/>
      <c r="V122" s="452">
        <f>C117</f>
        <v>2</v>
      </c>
      <c r="W122" s="423"/>
      <c r="X122" s="426">
        <f>INDEX(CHOOSE($V122,C_MergerSplitTransfer!$H$9:$H$68,C_MergerSplitTransfer!$K$9:$K$68),MATCH(Q122,C_MergerSplitTransfer!$T$9:$T$68,0))</f>
      </c>
      <c r="Y122" s="427" t="e">
        <f>IF(Y$75&lt;=CNTR_YearMergerSplit,"",INDEX(B_InitialSituation!G$9:G$153,MATCH($Q122,B_InitialSituation!$Q$9:$Q$153,0))*$X122)</f>
        <v>#VALUE!</v>
      </c>
      <c r="Z122" s="427" t="e">
        <f>IF(Z$75&lt;=CNTR_YearMergerSplit,"",INDEX(B_InitialSituation!H$9:H$153,MATCH($Q122,B_InitialSituation!$Q$9:$Q$153,0))*$X122)</f>
        <v>#VALUE!</v>
      </c>
      <c r="AA122" s="427" t="e">
        <f>IF(AA$75&lt;=CNTR_YearMergerSplit,"",INDEX(B_InitialSituation!I$9:I$153,MATCH($Q122,B_InitialSituation!$Q$9:$Q$153,0))*$X122)</f>
        <v>#VALUE!</v>
      </c>
      <c r="AB122" s="427" t="e">
        <f>IF(AB$75&lt;=CNTR_YearMergerSplit,"",INDEX(B_InitialSituation!J$9:J$153,MATCH($Q122,B_InitialSituation!$Q$9:$Q$153,0))*$X122)</f>
        <v>#VALUE!</v>
      </c>
      <c r="AC122" s="427" t="e">
        <f>IF(AC$75&lt;=CNTR_YearMergerSplit,"",INDEX(B_InitialSituation!K$9:K$153,MATCH($Q122,B_InitialSituation!$Q$9:$Q$153,0))*$X122)</f>
        <v>#VALUE!</v>
      </c>
      <c r="AD122" s="427" t="e">
        <f>IF(AD$75&lt;=CNTR_YearMergerSplit,"",INDEX(B_InitialSituation!L$9:L$153,MATCH($Q122,B_InitialSituation!$Q$9:$Q$153,0))*$X122)</f>
        <v>#VALUE!</v>
      </c>
      <c r="AE122" s="427" t="e">
        <f>IF(AE$75&lt;=CNTR_YearMergerSplit,"",INDEX(B_InitialSituation!M$9:M$153,MATCH($Q122,B_InitialSituation!$Q$9:$Q$153,0))*$X122)</f>
        <v>#VALUE!</v>
      </c>
      <c r="AF122" s="427" t="e">
        <f>IF(AF$75&lt;=CNTR_YearMergerSplit,"",INDEX(B_InitialSituation!N$9:N$153,MATCH($Q122,B_InitialSituation!$Q$9:$Q$153,0))*$X122)</f>
        <v>#VALUE!</v>
      </c>
      <c r="AG122" s="423"/>
      <c r="AH122" s="426">
        <f>INDEX(CHOOSE($V122,C_MergerSplitTransfer!$H$9:$H$68,C_MergerSplitTransfer!$K$9:$K$68),MATCH(R122,C_MergerSplitTransfer!$T$9:$T$68,0))</f>
      </c>
      <c r="AI122" s="427" t="e">
        <f>IF(AI$75&lt;=CNTR_YearMergerSplit,"",INDEX(B_InitialSituation!G$9:G$153,MATCH($R122,B_InitialSituation!$Q$9:$Q$153,0))*$AH122)</f>
        <v>#VALUE!</v>
      </c>
      <c r="AJ122" s="427" t="e">
        <f>IF(AJ$75&lt;=CNTR_YearMergerSplit,"",INDEX(B_InitialSituation!H$9:H$153,MATCH($R122,B_InitialSituation!$Q$9:$Q$153,0))*$AH122)</f>
        <v>#VALUE!</v>
      </c>
      <c r="AK122" s="427" t="e">
        <f>IF(AK$75&lt;=CNTR_YearMergerSplit,"",INDEX(B_InitialSituation!I$9:I$153,MATCH($R122,B_InitialSituation!$Q$9:$Q$153,0))*$AH122)</f>
        <v>#VALUE!</v>
      </c>
      <c r="AL122" s="427" t="e">
        <f>IF(AL$75&lt;=CNTR_YearMergerSplit,"",INDEX(B_InitialSituation!J$9:J$153,MATCH($R122,B_InitialSituation!$Q$9:$Q$153,0))*$AH122)</f>
        <v>#VALUE!</v>
      </c>
      <c r="AM122" s="427" t="e">
        <f>IF(AM$75&lt;=CNTR_YearMergerSplit,"",INDEX(B_InitialSituation!K$9:K$153,MATCH($R122,B_InitialSituation!$Q$9:$Q$153,0))*$AH122)</f>
        <v>#VALUE!</v>
      </c>
      <c r="AN122" s="427" t="e">
        <f>IF(AN$75&lt;=CNTR_YearMergerSplit,"",INDEX(B_InitialSituation!L$9:L$153,MATCH($R122,B_InitialSituation!$Q$9:$Q$153,0))*$AH122)</f>
        <v>#VALUE!</v>
      </c>
      <c r="AO122" s="427" t="e">
        <f>IF(AO$75&lt;=CNTR_YearMergerSplit,"",INDEX(B_InitialSituation!M$9:M$153,MATCH($R122,B_InitialSituation!$Q$9:$Q$153,0))*$AH122)</f>
        <v>#VALUE!</v>
      </c>
      <c r="AP122" s="427" t="e">
        <f>IF(AP$75&lt;=CNTR_YearMergerSplit,"",INDEX(B_InitialSituation!N$9:N$153,MATCH($R122,B_InitialSituation!$Q$9:$Q$153,0))*$AH122)</f>
        <v>#VALUE!</v>
      </c>
      <c r="AQ122" s="423"/>
    </row>
    <row r="123" spans="1:43" s="522" customFormat="1" ht="12.75" customHeight="1">
      <c r="A123" s="4"/>
      <c r="B123" s="5"/>
      <c r="C123" s="555">
        <v>1</v>
      </c>
      <c r="D123" s="1033">
        <f>IF(OR($L$117="",T123=""),"",T123)</f>
      </c>
      <c r="E123" s="1034"/>
      <c r="F123" s="1035"/>
      <c r="G123" s="556">
        <f aca="true" t="shared" si="44" ref="G123:G139">IF(SUM(IF(ISERROR(Y123),0,Y123),IF(ISERROR(AI123),0,AI123))=0,"",ROUND(SUM(IF(ISERROR(Y123),0,Y123),IF(ISERROR(AI123),0,AI123)),0))</f>
      </c>
      <c r="H123" s="556">
        <f t="shared" si="35"/>
      </c>
      <c r="I123" s="556">
        <f t="shared" si="36"/>
      </c>
      <c r="J123" s="556">
        <f t="shared" si="37"/>
      </c>
      <c r="K123" s="556">
        <f t="shared" si="38"/>
      </c>
      <c r="L123" s="556">
        <f t="shared" si="39"/>
      </c>
      <c r="M123" s="556">
        <f t="shared" si="40"/>
      </c>
      <c r="N123" s="556">
        <f t="shared" si="41"/>
      </c>
      <c r="O123" s="378"/>
      <c r="P123" s="481"/>
      <c r="Q123" s="451" t="str">
        <f t="shared" si="42"/>
        <v>FInitial_1_</v>
      </c>
      <c r="R123" s="451" t="str">
        <f t="shared" si="43"/>
        <v>FInitial_2_</v>
      </c>
      <c r="S123" s="423"/>
      <c r="T123" s="452">
        <f>IF(COUNTIF(B_InitialSituation!$T$9:$T$153,$C123)=0,"",INDEX(B_InitialSituation!$D$9:$D$153,MATCH($C123,B_InitialSituation!$T$9:$T$153,0)))</f>
      </c>
      <c r="U123" s="423"/>
      <c r="V123" s="453">
        <f aca="true" t="shared" si="45" ref="V123:V139">V122</f>
        <v>2</v>
      </c>
      <c r="W123" s="423"/>
      <c r="X123" s="428">
        <f>INDEX(CHOOSE($V123,C_MergerSplitTransfer!$H$9:$H$68,C_MergerSplitTransfer!$K$9:$K$68),MATCH(Q123,C_MergerSplitTransfer!$T$9:$T$68,0))</f>
      </c>
      <c r="Y123" s="429" t="e">
        <f>IF(Y$75&lt;=CNTR_YearMergerSplit,"",INDEX(B_InitialSituation!G$9:G$153,MATCH($Q123,B_InitialSituation!$Q$9:$Q$153,0))*$X123)</f>
        <v>#VALUE!</v>
      </c>
      <c r="Z123" s="429" t="e">
        <f>IF(Z$75&lt;=CNTR_YearMergerSplit,"",INDEX(B_InitialSituation!H$9:H$153,MATCH($Q123,B_InitialSituation!$Q$9:$Q$153,0))*$X123)</f>
        <v>#VALUE!</v>
      </c>
      <c r="AA123" s="429" t="e">
        <f>IF(AA$75&lt;=CNTR_YearMergerSplit,"",INDEX(B_InitialSituation!I$9:I$153,MATCH($Q123,B_InitialSituation!$Q$9:$Q$153,0))*$X123)</f>
        <v>#VALUE!</v>
      </c>
      <c r="AB123" s="429" t="e">
        <f>IF(AB$75&lt;=CNTR_YearMergerSplit,"",INDEX(B_InitialSituation!J$9:J$153,MATCH($Q123,B_InitialSituation!$Q$9:$Q$153,0))*$X123)</f>
        <v>#VALUE!</v>
      </c>
      <c r="AC123" s="429" t="e">
        <f>IF(AC$75&lt;=CNTR_YearMergerSplit,"",INDEX(B_InitialSituation!K$9:K$153,MATCH($Q123,B_InitialSituation!$Q$9:$Q$153,0))*$X123)</f>
        <v>#VALUE!</v>
      </c>
      <c r="AD123" s="429" t="e">
        <f>IF(AD$75&lt;=CNTR_YearMergerSplit,"",INDEX(B_InitialSituation!L$9:L$153,MATCH($Q123,B_InitialSituation!$Q$9:$Q$153,0))*$X123)</f>
        <v>#VALUE!</v>
      </c>
      <c r="AE123" s="429" t="e">
        <f>IF(AE$75&lt;=CNTR_YearMergerSplit,"",INDEX(B_InitialSituation!M$9:M$153,MATCH($Q123,B_InitialSituation!$Q$9:$Q$153,0))*$X123)</f>
        <v>#VALUE!</v>
      </c>
      <c r="AF123" s="429" t="e">
        <f>IF(AF$75&lt;=CNTR_YearMergerSplit,"",INDEX(B_InitialSituation!N$9:N$153,MATCH($Q123,B_InitialSituation!$Q$9:$Q$153,0))*$X123)</f>
        <v>#VALUE!</v>
      </c>
      <c r="AG123" s="423"/>
      <c r="AH123" s="428">
        <f>INDEX(CHOOSE($V123,C_MergerSplitTransfer!$H$9:$H$68,C_MergerSplitTransfer!$K$9:$K$68),MATCH(R123,C_MergerSplitTransfer!$T$9:$T$68,0))</f>
      </c>
      <c r="AI123" s="429" t="e">
        <f>IF(AI$75&lt;=CNTR_YearMergerSplit,"",INDEX(B_InitialSituation!G$9:G$153,MATCH($R123,B_InitialSituation!$Q$9:$Q$153,0))*$AH123)</f>
        <v>#VALUE!</v>
      </c>
      <c r="AJ123" s="429" t="e">
        <f>IF(AJ$75&lt;=CNTR_YearMergerSplit,"",INDEX(B_InitialSituation!H$9:H$153,MATCH($R123,B_InitialSituation!$Q$9:$Q$153,0))*$AH123)</f>
        <v>#VALUE!</v>
      </c>
      <c r="AK123" s="429" t="e">
        <f>IF(AK$75&lt;=CNTR_YearMergerSplit,"",INDEX(B_InitialSituation!I$9:I$153,MATCH($R123,B_InitialSituation!$Q$9:$Q$153,0))*$AH123)</f>
        <v>#VALUE!</v>
      </c>
      <c r="AL123" s="429" t="e">
        <f>IF(AL$75&lt;=CNTR_YearMergerSplit,"",INDEX(B_InitialSituation!J$9:J$153,MATCH($R123,B_InitialSituation!$Q$9:$Q$153,0))*$AH123)</f>
        <v>#VALUE!</v>
      </c>
      <c r="AM123" s="429" t="e">
        <f>IF(AM$75&lt;=CNTR_YearMergerSplit,"",INDEX(B_InitialSituation!K$9:K$153,MATCH($R123,B_InitialSituation!$Q$9:$Q$153,0))*$AH123)</f>
        <v>#VALUE!</v>
      </c>
      <c r="AN123" s="429" t="e">
        <f>IF(AN$75&lt;=CNTR_YearMergerSplit,"",INDEX(B_InitialSituation!L$9:L$153,MATCH($R123,B_InitialSituation!$Q$9:$Q$153,0))*$AH123)</f>
        <v>#VALUE!</v>
      </c>
      <c r="AO123" s="429" t="e">
        <f>IF(AO$75&lt;=CNTR_YearMergerSplit,"",INDEX(B_InitialSituation!M$9:M$153,MATCH($R123,B_InitialSituation!$Q$9:$Q$153,0))*$AH123)</f>
        <v>#VALUE!</v>
      </c>
      <c r="AP123" s="429" t="e">
        <f>IF(AP$75&lt;=CNTR_YearMergerSplit,"",INDEX(B_InitialSituation!N$9:N$153,MATCH($R123,B_InitialSituation!$Q$9:$Q$153,0))*$AH123)</f>
        <v>#VALUE!</v>
      </c>
      <c r="AQ123" s="423"/>
    </row>
    <row r="124" spans="1:43" s="522" customFormat="1" ht="12.75" customHeight="1">
      <c r="A124" s="4"/>
      <c r="B124" s="5"/>
      <c r="C124" s="555">
        <v>2</v>
      </c>
      <c r="D124" s="1036">
        <f aca="true" t="shared" si="46" ref="D124:D132">IF(OR($L$117="",T124=""),"",T124)</f>
      </c>
      <c r="E124" s="1037"/>
      <c r="F124" s="1038"/>
      <c r="G124" s="557">
        <f t="shared" si="44"/>
      </c>
      <c r="H124" s="557">
        <f t="shared" si="35"/>
      </c>
      <c r="I124" s="557">
        <f t="shared" si="36"/>
      </c>
      <c r="J124" s="557">
        <f t="shared" si="37"/>
      </c>
      <c r="K124" s="557">
        <f t="shared" si="38"/>
      </c>
      <c r="L124" s="557">
        <f t="shared" si="39"/>
      </c>
      <c r="M124" s="557">
        <f t="shared" si="40"/>
      </c>
      <c r="N124" s="557">
        <f t="shared" si="41"/>
      </c>
      <c r="O124" s="323"/>
      <c r="P124" s="321"/>
      <c r="Q124" s="451" t="str">
        <f t="shared" si="42"/>
        <v>FInitial_1_</v>
      </c>
      <c r="R124" s="451" t="str">
        <f t="shared" si="43"/>
        <v>FInitial_2_</v>
      </c>
      <c r="S124" s="423"/>
      <c r="T124" s="453">
        <f>IF(COUNTIF(B_InitialSituation!$T$9:$T$153,$C124)=0,"",INDEX(B_InitialSituation!$D$9:$D$153,MATCH($C124,B_InitialSituation!$T$9:$T$153,0)))</f>
      </c>
      <c r="U124" s="423"/>
      <c r="V124" s="453">
        <f t="shared" si="45"/>
        <v>2</v>
      </c>
      <c r="W124" s="423"/>
      <c r="X124" s="430">
        <f>INDEX(CHOOSE($V124,C_MergerSplitTransfer!$H$9:$H$68,C_MergerSplitTransfer!$K$9:$K$68),MATCH(Q124,C_MergerSplitTransfer!$T$9:$T$68,0))</f>
      </c>
      <c r="Y124" s="431" t="e">
        <f>IF(Y$75&lt;=CNTR_YearMergerSplit,"",INDEX(B_InitialSituation!G$9:G$153,MATCH($Q124,B_InitialSituation!$Q$9:$Q$153,0))*$X124)</f>
        <v>#VALUE!</v>
      </c>
      <c r="Z124" s="431" t="e">
        <f>IF(Z$75&lt;=CNTR_YearMergerSplit,"",INDEX(B_InitialSituation!H$9:H$153,MATCH($Q124,B_InitialSituation!$Q$9:$Q$153,0))*$X124)</f>
        <v>#VALUE!</v>
      </c>
      <c r="AA124" s="431" t="e">
        <f>IF(AA$75&lt;=CNTR_YearMergerSplit,"",INDEX(B_InitialSituation!I$9:I$153,MATCH($Q124,B_InitialSituation!$Q$9:$Q$153,0))*$X124)</f>
        <v>#VALUE!</v>
      </c>
      <c r="AB124" s="431" t="e">
        <f>IF(AB$75&lt;=CNTR_YearMergerSplit,"",INDEX(B_InitialSituation!J$9:J$153,MATCH($Q124,B_InitialSituation!$Q$9:$Q$153,0))*$X124)</f>
        <v>#VALUE!</v>
      </c>
      <c r="AC124" s="431" t="e">
        <f>IF(AC$75&lt;=CNTR_YearMergerSplit,"",INDEX(B_InitialSituation!K$9:K$153,MATCH($Q124,B_InitialSituation!$Q$9:$Q$153,0))*$X124)</f>
        <v>#VALUE!</v>
      </c>
      <c r="AD124" s="431" t="e">
        <f>IF(AD$75&lt;=CNTR_YearMergerSplit,"",INDEX(B_InitialSituation!L$9:L$153,MATCH($Q124,B_InitialSituation!$Q$9:$Q$153,0))*$X124)</f>
        <v>#VALUE!</v>
      </c>
      <c r="AE124" s="431" t="e">
        <f>IF(AE$75&lt;=CNTR_YearMergerSplit,"",INDEX(B_InitialSituation!M$9:M$153,MATCH($Q124,B_InitialSituation!$Q$9:$Q$153,0))*$X124)</f>
        <v>#VALUE!</v>
      </c>
      <c r="AF124" s="431" t="e">
        <f>IF(AF$75&lt;=CNTR_YearMergerSplit,"",INDEX(B_InitialSituation!N$9:N$153,MATCH($Q124,B_InitialSituation!$Q$9:$Q$153,0))*$X124)</f>
        <v>#VALUE!</v>
      </c>
      <c r="AG124" s="423"/>
      <c r="AH124" s="430">
        <f>INDEX(CHOOSE($V124,C_MergerSplitTransfer!$H$9:$H$68,C_MergerSplitTransfer!$K$9:$K$68),MATCH(R124,C_MergerSplitTransfer!$T$9:$T$68,0))</f>
      </c>
      <c r="AI124" s="431" t="e">
        <f>IF(AI$75&lt;=CNTR_YearMergerSplit,"",INDEX(B_InitialSituation!G$9:G$153,MATCH($R124,B_InitialSituation!$Q$9:$Q$153,0))*$AH124)</f>
        <v>#VALUE!</v>
      </c>
      <c r="AJ124" s="431" t="e">
        <f>IF(AJ$75&lt;=CNTR_YearMergerSplit,"",INDEX(B_InitialSituation!H$9:H$153,MATCH($R124,B_InitialSituation!$Q$9:$Q$153,0))*$AH124)</f>
        <v>#VALUE!</v>
      </c>
      <c r="AK124" s="431" t="e">
        <f>IF(AK$75&lt;=CNTR_YearMergerSplit,"",INDEX(B_InitialSituation!I$9:I$153,MATCH($R124,B_InitialSituation!$Q$9:$Q$153,0))*$AH124)</f>
        <v>#VALUE!</v>
      </c>
      <c r="AL124" s="431" t="e">
        <f>IF(AL$75&lt;=CNTR_YearMergerSplit,"",INDEX(B_InitialSituation!J$9:J$153,MATCH($R124,B_InitialSituation!$Q$9:$Q$153,0))*$AH124)</f>
        <v>#VALUE!</v>
      </c>
      <c r="AM124" s="431" t="e">
        <f>IF(AM$75&lt;=CNTR_YearMergerSplit,"",INDEX(B_InitialSituation!K$9:K$153,MATCH($R124,B_InitialSituation!$Q$9:$Q$153,0))*$AH124)</f>
        <v>#VALUE!</v>
      </c>
      <c r="AN124" s="431" t="e">
        <f>IF(AN$75&lt;=CNTR_YearMergerSplit,"",INDEX(B_InitialSituation!L$9:L$153,MATCH($R124,B_InitialSituation!$Q$9:$Q$153,0))*$AH124)</f>
        <v>#VALUE!</v>
      </c>
      <c r="AO124" s="431" t="e">
        <f>IF(AO$75&lt;=CNTR_YearMergerSplit,"",INDEX(B_InitialSituation!M$9:M$153,MATCH($R124,B_InitialSituation!$Q$9:$Q$153,0))*$AH124)</f>
        <v>#VALUE!</v>
      </c>
      <c r="AP124" s="431" t="e">
        <f>IF(AP$75&lt;=CNTR_YearMergerSplit,"",INDEX(B_InitialSituation!N$9:N$153,MATCH($R124,B_InitialSituation!$Q$9:$Q$153,0))*$AH124)</f>
        <v>#VALUE!</v>
      </c>
      <c r="AQ124" s="423"/>
    </row>
    <row r="125" spans="1:43" s="522" customFormat="1" ht="12.75" customHeight="1">
      <c r="A125" s="4"/>
      <c r="B125" s="5"/>
      <c r="C125" s="555">
        <v>3</v>
      </c>
      <c r="D125" s="1036">
        <f t="shared" si="46"/>
      </c>
      <c r="E125" s="1037"/>
      <c r="F125" s="1038"/>
      <c r="G125" s="557">
        <f t="shared" si="44"/>
      </c>
      <c r="H125" s="557">
        <f t="shared" si="35"/>
      </c>
      <c r="I125" s="557">
        <f t="shared" si="36"/>
      </c>
      <c r="J125" s="557">
        <f t="shared" si="37"/>
      </c>
      <c r="K125" s="557">
        <f t="shared" si="38"/>
      </c>
      <c r="L125" s="557">
        <f t="shared" si="39"/>
      </c>
      <c r="M125" s="557">
        <f t="shared" si="40"/>
      </c>
      <c r="N125" s="557">
        <f t="shared" si="41"/>
      </c>
      <c r="O125" s="323"/>
      <c r="P125" s="321"/>
      <c r="Q125" s="451" t="str">
        <f t="shared" si="42"/>
        <v>FInitial_1_</v>
      </c>
      <c r="R125" s="451" t="str">
        <f t="shared" si="43"/>
        <v>FInitial_2_</v>
      </c>
      <c r="S125" s="423"/>
      <c r="T125" s="453">
        <f>IF(COUNTIF(B_InitialSituation!$T$9:$T$153,$C125)=0,"",INDEX(B_InitialSituation!$D$9:$D$153,MATCH($C125,B_InitialSituation!$T$9:$T$153,0)))</f>
      </c>
      <c r="U125" s="423"/>
      <c r="V125" s="453">
        <f t="shared" si="45"/>
        <v>2</v>
      </c>
      <c r="W125" s="423"/>
      <c r="X125" s="430">
        <f>INDEX(CHOOSE($V125,C_MergerSplitTransfer!$H$9:$H$68,C_MergerSplitTransfer!$K$9:$K$68),MATCH(Q125,C_MergerSplitTransfer!$T$9:$T$68,0))</f>
      </c>
      <c r="Y125" s="431" t="e">
        <f>IF(Y$75&lt;=CNTR_YearMergerSplit,"",INDEX(B_InitialSituation!G$9:G$153,MATCH($Q125,B_InitialSituation!$Q$9:$Q$153,0))*$X125)</f>
        <v>#VALUE!</v>
      </c>
      <c r="Z125" s="431" t="e">
        <f>IF(Z$75&lt;=CNTR_YearMergerSplit,"",INDEX(B_InitialSituation!H$9:H$153,MATCH($Q125,B_InitialSituation!$Q$9:$Q$153,0))*$X125)</f>
        <v>#VALUE!</v>
      </c>
      <c r="AA125" s="431" t="e">
        <f>IF(AA$75&lt;=CNTR_YearMergerSplit,"",INDEX(B_InitialSituation!I$9:I$153,MATCH($Q125,B_InitialSituation!$Q$9:$Q$153,0))*$X125)</f>
        <v>#VALUE!</v>
      </c>
      <c r="AB125" s="431" t="e">
        <f>IF(AB$75&lt;=CNTR_YearMergerSplit,"",INDEX(B_InitialSituation!J$9:J$153,MATCH($Q125,B_InitialSituation!$Q$9:$Q$153,0))*$X125)</f>
        <v>#VALUE!</v>
      </c>
      <c r="AC125" s="431" t="e">
        <f>IF(AC$75&lt;=CNTR_YearMergerSplit,"",INDEX(B_InitialSituation!K$9:K$153,MATCH($Q125,B_InitialSituation!$Q$9:$Q$153,0))*$X125)</f>
        <v>#VALUE!</v>
      </c>
      <c r="AD125" s="431" t="e">
        <f>IF(AD$75&lt;=CNTR_YearMergerSplit,"",INDEX(B_InitialSituation!L$9:L$153,MATCH($Q125,B_InitialSituation!$Q$9:$Q$153,0))*$X125)</f>
        <v>#VALUE!</v>
      </c>
      <c r="AE125" s="431" t="e">
        <f>IF(AE$75&lt;=CNTR_YearMergerSplit,"",INDEX(B_InitialSituation!M$9:M$153,MATCH($Q125,B_InitialSituation!$Q$9:$Q$153,0))*$X125)</f>
        <v>#VALUE!</v>
      </c>
      <c r="AF125" s="431" t="e">
        <f>IF(AF$75&lt;=CNTR_YearMergerSplit,"",INDEX(B_InitialSituation!N$9:N$153,MATCH($Q125,B_InitialSituation!$Q$9:$Q$153,0))*$X125)</f>
        <v>#VALUE!</v>
      </c>
      <c r="AG125" s="423"/>
      <c r="AH125" s="430">
        <f>INDEX(CHOOSE($V125,C_MergerSplitTransfer!$H$9:$H$68,C_MergerSplitTransfer!$K$9:$K$68),MATCH(R125,C_MergerSplitTransfer!$T$9:$T$68,0))</f>
      </c>
      <c r="AI125" s="431" t="e">
        <f>IF(AI$75&lt;=CNTR_YearMergerSplit,"",INDEX(B_InitialSituation!G$9:G$153,MATCH($R125,B_InitialSituation!$Q$9:$Q$153,0))*$AH125)</f>
        <v>#VALUE!</v>
      </c>
      <c r="AJ125" s="431" t="e">
        <f>IF(AJ$75&lt;=CNTR_YearMergerSplit,"",INDEX(B_InitialSituation!H$9:H$153,MATCH($R125,B_InitialSituation!$Q$9:$Q$153,0))*$AH125)</f>
        <v>#VALUE!</v>
      </c>
      <c r="AK125" s="431" t="e">
        <f>IF(AK$75&lt;=CNTR_YearMergerSplit,"",INDEX(B_InitialSituation!I$9:I$153,MATCH($R125,B_InitialSituation!$Q$9:$Q$153,0))*$AH125)</f>
        <v>#VALUE!</v>
      </c>
      <c r="AL125" s="431" t="e">
        <f>IF(AL$75&lt;=CNTR_YearMergerSplit,"",INDEX(B_InitialSituation!J$9:J$153,MATCH($R125,B_InitialSituation!$Q$9:$Q$153,0))*$AH125)</f>
        <v>#VALUE!</v>
      </c>
      <c r="AM125" s="431" t="e">
        <f>IF(AM$75&lt;=CNTR_YearMergerSplit,"",INDEX(B_InitialSituation!K$9:K$153,MATCH($R125,B_InitialSituation!$Q$9:$Q$153,0))*$AH125)</f>
        <v>#VALUE!</v>
      </c>
      <c r="AN125" s="431" t="e">
        <f>IF(AN$75&lt;=CNTR_YearMergerSplit,"",INDEX(B_InitialSituation!L$9:L$153,MATCH($R125,B_InitialSituation!$Q$9:$Q$153,0))*$AH125)</f>
        <v>#VALUE!</v>
      </c>
      <c r="AO125" s="431" t="e">
        <f>IF(AO$75&lt;=CNTR_YearMergerSplit,"",INDEX(B_InitialSituation!M$9:M$153,MATCH($R125,B_InitialSituation!$Q$9:$Q$153,0))*$AH125)</f>
        <v>#VALUE!</v>
      </c>
      <c r="AP125" s="431" t="e">
        <f>IF(AP$75&lt;=CNTR_YearMergerSplit,"",INDEX(B_InitialSituation!N$9:N$153,MATCH($R125,B_InitialSituation!$Q$9:$Q$153,0))*$AH125)</f>
        <v>#VALUE!</v>
      </c>
      <c r="AQ125" s="423"/>
    </row>
    <row r="126" spans="1:43" s="522" customFormat="1" ht="12.75" customHeight="1">
      <c r="A126" s="4"/>
      <c r="B126" s="5"/>
      <c r="C126" s="555">
        <v>4</v>
      </c>
      <c r="D126" s="1036">
        <f t="shared" si="46"/>
      </c>
      <c r="E126" s="1037"/>
      <c r="F126" s="1038"/>
      <c r="G126" s="557">
        <f t="shared" si="44"/>
      </c>
      <c r="H126" s="557">
        <f t="shared" si="35"/>
      </c>
      <c r="I126" s="557">
        <f t="shared" si="36"/>
      </c>
      <c r="J126" s="557">
        <f t="shared" si="37"/>
      </c>
      <c r="K126" s="557">
        <f t="shared" si="38"/>
      </c>
      <c r="L126" s="557">
        <f t="shared" si="39"/>
      </c>
      <c r="M126" s="557">
        <f t="shared" si="40"/>
      </c>
      <c r="N126" s="557">
        <f t="shared" si="41"/>
      </c>
      <c r="O126" s="323"/>
      <c r="P126" s="321"/>
      <c r="Q126" s="451" t="str">
        <f t="shared" si="42"/>
        <v>FInitial_1_</v>
      </c>
      <c r="R126" s="451" t="str">
        <f t="shared" si="43"/>
        <v>FInitial_2_</v>
      </c>
      <c r="S126" s="423"/>
      <c r="T126" s="453">
        <f>IF(COUNTIF(B_InitialSituation!$T$9:$T$153,$C126)=0,"",INDEX(B_InitialSituation!$D$9:$D$153,MATCH($C126,B_InitialSituation!$T$9:$T$153,0)))</f>
      </c>
      <c r="U126" s="423"/>
      <c r="V126" s="453">
        <f t="shared" si="45"/>
        <v>2</v>
      </c>
      <c r="W126" s="423"/>
      <c r="X126" s="430">
        <f>INDEX(CHOOSE($V126,C_MergerSplitTransfer!$H$9:$H$68,C_MergerSplitTransfer!$K$9:$K$68),MATCH(Q126,C_MergerSplitTransfer!$T$9:$T$68,0))</f>
      </c>
      <c r="Y126" s="431" t="e">
        <f>IF(Y$75&lt;=CNTR_YearMergerSplit,"",INDEX(B_InitialSituation!G$9:G$153,MATCH($Q126,B_InitialSituation!$Q$9:$Q$153,0))*$X126)</f>
        <v>#VALUE!</v>
      </c>
      <c r="Z126" s="431" t="e">
        <f>IF(Z$75&lt;=CNTR_YearMergerSplit,"",INDEX(B_InitialSituation!H$9:H$153,MATCH($Q126,B_InitialSituation!$Q$9:$Q$153,0))*$X126)</f>
        <v>#VALUE!</v>
      </c>
      <c r="AA126" s="431" t="e">
        <f>IF(AA$75&lt;=CNTR_YearMergerSplit,"",INDEX(B_InitialSituation!I$9:I$153,MATCH($Q126,B_InitialSituation!$Q$9:$Q$153,0))*$X126)</f>
        <v>#VALUE!</v>
      </c>
      <c r="AB126" s="431" t="e">
        <f>IF(AB$75&lt;=CNTR_YearMergerSplit,"",INDEX(B_InitialSituation!J$9:J$153,MATCH($Q126,B_InitialSituation!$Q$9:$Q$153,0))*$X126)</f>
        <v>#VALUE!</v>
      </c>
      <c r="AC126" s="431" t="e">
        <f>IF(AC$75&lt;=CNTR_YearMergerSplit,"",INDEX(B_InitialSituation!K$9:K$153,MATCH($Q126,B_InitialSituation!$Q$9:$Q$153,0))*$X126)</f>
        <v>#VALUE!</v>
      </c>
      <c r="AD126" s="431" t="e">
        <f>IF(AD$75&lt;=CNTR_YearMergerSplit,"",INDEX(B_InitialSituation!L$9:L$153,MATCH($Q126,B_InitialSituation!$Q$9:$Q$153,0))*$X126)</f>
        <v>#VALUE!</v>
      </c>
      <c r="AE126" s="431" t="e">
        <f>IF(AE$75&lt;=CNTR_YearMergerSplit,"",INDEX(B_InitialSituation!M$9:M$153,MATCH($Q126,B_InitialSituation!$Q$9:$Q$153,0))*$X126)</f>
        <v>#VALUE!</v>
      </c>
      <c r="AF126" s="431" t="e">
        <f>IF(AF$75&lt;=CNTR_YearMergerSplit,"",INDEX(B_InitialSituation!N$9:N$153,MATCH($Q126,B_InitialSituation!$Q$9:$Q$153,0))*$X126)</f>
        <v>#VALUE!</v>
      </c>
      <c r="AG126" s="423"/>
      <c r="AH126" s="430">
        <f>INDEX(CHOOSE($V126,C_MergerSplitTransfer!$H$9:$H$68,C_MergerSplitTransfer!$K$9:$K$68),MATCH(R126,C_MergerSplitTransfer!$T$9:$T$68,0))</f>
      </c>
      <c r="AI126" s="431" t="e">
        <f>IF(AI$75&lt;=CNTR_YearMergerSplit,"",INDEX(B_InitialSituation!G$9:G$153,MATCH($R126,B_InitialSituation!$Q$9:$Q$153,0))*$AH126)</f>
        <v>#VALUE!</v>
      </c>
      <c r="AJ126" s="431" t="e">
        <f>IF(AJ$75&lt;=CNTR_YearMergerSplit,"",INDEX(B_InitialSituation!H$9:H$153,MATCH($R126,B_InitialSituation!$Q$9:$Q$153,0))*$AH126)</f>
        <v>#VALUE!</v>
      </c>
      <c r="AK126" s="431" t="e">
        <f>IF(AK$75&lt;=CNTR_YearMergerSplit,"",INDEX(B_InitialSituation!I$9:I$153,MATCH($R126,B_InitialSituation!$Q$9:$Q$153,0))*$AH126)</f>
        <v>#VALUE!</v>
      </c>
      <c r="AL126" s="431" t="e">
        <f>IF(AL$75&lt;=CNTR_YearMergerSplit,"",INDEX(B_InitialSituation!J$9:J$153,MATCH($R126,B_InitialSituation!$Q$9:$Q$153,0))*$AH126)</f>
        <v>#VALUE!</v>
      </c>
      <c r="AM126" s="431" t="e">
        <f>IF(AM$75&lt;=CNTR_YearMergerSplit,"",INDEX(B_InitialSituation!K$9:K$153,MATCH($R126,B_InitialSituation!$Q$9:$Q$153,0))*$AH126)</f>
        <v>#VALUE!</v>
      </c>
      <c r="AN126" s="431" t="e">
        <f>IF(AN$75&lt;=CNTR_YearMergerSplit,"",INDEX(B_InitialSituation!L$9:L$153,MATCH($R126,B_InitialSituation!$Q$9:$Q$153,0))*$AH126)</f>
        <v>#VALUE!</v>
      </c>
      <c r="AO126" s="431" t="e">
        <f>IF(AO$75&lt;=CNTR_YearMergerSplit,"",INDEX(B_InitialSituation!M$9:M$153,MATCH($R126,B_InitialSituation!$Q$9:$Q$153,0))*$AH126)</f>
        <v>#VALUE!</v>
      </c>
      <c r="AP126" s="431" t="e">
        <f>IF(AP$75&lt;=CNTR_YearMergerSplit,"",INDEX(B_InitialSituation!N$9:N$153,MATCH($R126,B_InitialSituation!$Q$9:$Q$153,0))*$AH126)</f>
        <v>#VALUE!</v>
      </c>
      <c r="AQ126" s="423"/>
    </row>
    <row r="127" spans="1:43" s="522" customFormat="1" ht="12.75" customHeight="1">
      <c r="A127" s="4"/>
      <c r="B127" s="5"/>
      <c r="C127" s="555">
        <v>5</v>
      </c>
      <c r="D127" s="1036">
        <f t="shared" si="46"/>
      </c>
      <c r="E127" s="1037"/>
      <c r="F127" s="1038"/>
      <c r="G127" s="557">
        <f t="shared" si="44"/>
      </c>
      <c r="H127" s="557">
        <f t="shared" si="35"/>
      </c>
      <c r="I127" s="557">
        <f t="shared" si="36"/>
      </c>
      <c r="J127" s="557">
        <f t="shared" si="37"/>
      </c>
      <c r="K127" s="557">
        <f t="shared" si="38"/>
      </c>
      <c r="L127" s="557">
        <f t="shared" si="39"/>
      </c>
      <c r="M127" s="557">
        <f t="shared" si="40"/>
      </c>
      <c r="N127" s="557">
        <f t="shared" si="41"/>
      </c>
      <c r="O127" s="323"/>
      <c r="P127" s="321"/>
      <c r="Q127" s="451" t="str">
        <f t="shared" si="42"/>
        <v>FInitial_1_</v>
      </c>
      <c r="R127" s="451" t="str">
        <f t="shared" si="43"/>
        <v>FInitial_2_</v>
      </c>
      <c r="S127" s="423"/>
      <c r="T127" s="453">
        <f>IF(COUNTIF(B_InitialSituation!$T$9:$T$153,$C127)=0,"",INDEX(B_InitialSituation!$D$9:$D$153,MATCH($C127,B_InitialSituation!$T$9:$T$153,0)))</f>
      </c>
      <c r="U127" s="423"/>
      <c r="V127" s="453">
        <f t="shared" si="45"/>
        <v>2</v>
      </c>
      <c r="W127" s="423"/>
      <c r="X127" s="430">
        <f>INDEX(CHOOSE($V127,C_MergerSplitTransfer!$H$9:$H$68,C_MergerSplitTransfer!$K$9:$K$68),MATCH(Q127,C_MergerSplitTransfer!$T$9:$T$68,0))</f>
      </c>
      <c r="Y127" s="431" t="e">
        <f>IF(Y$75&lt;=CNTR_YearMergerSplit,"",INDEX(B_InitialSituation!G$9:G$153,MATCH($Q127,B_InitialSituation!$Q$9:$Q$153,0))*$X127)</f>
        <v>#VALUE!</v>
      </c>
      <c r="Z127" s="431" t="e">
        <f>IF(Z$75&lt;=CNTR_YearMergerSplit,"",INDEX(B_InitialSituation!H$9:H$153,MATCH($Q127,B_InitialSituation!$Q$9:$Q$153,0))*$X127)</f>
        <v>#VALUE!</v>
      </c>
      <c r="AA127" s="431" t="e">
        <f>IF(AA$75&lt;=CNTR_YearMergerSplit,"",INDEX(B_InitialSituation!I$9:I$153,MATCH($Q127,B_InitialSituation!$Q$9:$Q$153,0))*$X127)</f>
        <v>#VALUE!</v>
      </c>
      <c r="AB127" s="431" t="e">
        <f>IF(AB$75&lt;=CNTR_YearMergerSplit,"",INDEX(B_InitialSituation!J$9:J$153,MATCH($Q127,B_InitialSituation!$Q$9:$Q$153,0))*$X127)</f>
        <v>#VALUE!</v>
      </c>
      <c r="AC127" s="431" t="e">
        <f>IF(AC$75&lt;=CNTR_YearMergerSplit,"",INDEX(B_InitialSituation!K$9:K$153,MATCH($Q127,B_InitialSituation!$Q$9:$Q$153,0))*$X127)</f>
        <v>#VALUE!</v>
      </c>
      <c r="AD127" s="431" t="e">
        <f>IF(AD$75&lt;=CNTR_YearMergerSplit,"",INDEX(B_InitialSituation!L$9:L$153,MATCH($Q127,B_InitialSituation!$Q$9:$Q$153,0))*$X127)</f>
        <v>#VALUE!</v>
      </c>
      <c r="AE127" s="431" t="e">
        <f>IF(AE$75&lt;=CNTR_YearMergerSplit,"",INDEX(B_InitialSituation!M$9:M$153,MATCH($Q127,B_InitialSituation!$Q$9:$Q$153,0))*$X127)</f>
        <v>#VALUE!</v>
      </c>
      <c r="AF127" s="431" t="e">
        <f>IF(AF$75&lt;=CNTR_YearMergerSplit,"",INDEX(B_InitialSituation!N$9:N$153,MATCH($Q127,B_InitialSituation!$Q$9:$Q$153,0))*$X127)</f>
        <v>#VALUE!</v>
      </c>
      <c r="AG127" s="423"/>
      <c r="AH127" s="430">
        <f>INDEX(CHOOSE($V127,C_MergerSplitTransfer!$H$9:$H$68,C_MergerSplitTransfer!$K$9:$K$68),MATCH(R127,C_MergerSplitTransfer!$T$9:$T$68,0))</f>
      </c>
      <c r="AI127" s="431" t="e">
        <f>IF(AI$75&lt;=CNTR_YearMergerSplit,"",INDEX(B_InitialSituation!G$9:G$153,MATCH($R127,B_InitialSituation!$Q$9:$Q$153,0))*$AH127)</f>
        <v>#VALUE!</v>
      </c>
      <c r="AJ127" s="431" t="e">
        <f>IF(AJ$75&lt;=CNTR_YearMergerSplit,"",INDEX(B_InitialSituation!H$9:H$153,MATCH($R127,B_InitialSituation!$Q$9:$Q$153,0))*$AH127)</f>
        <v>#VALUE!</v>
      </c>
      <c r="AK127" s="431" t="e">
        <f>IF(AK$75&lt;=CNTR_YearMergerSplit,"",INDEX(B_InitialSituation!I$9:I$153,MATCH($R127,B_InitialSituation!$Q$9:$Q$153,0))*$AH127)</f>
        <v>#VALUE!</v>
      </c>
      <c r="AL127" s="431" t="e">
        <f>IF(AL$75&lt;=CNTR_YearMergerSplit,"",INDEX(B_InitialSituation!J$9:J$153,MATCH($R127,B_InitialSituation!$Q$9:$Q$153,0))*$AH127)</f>
        <v>#VALUE!</v>
      </c>
      <c r="AM127" s="431" t="e">
        <f>IF(AM$75&lt;=CNTR_YearMergerSplit,"",INDEX(B_InitialSituation!K$9:K$153,MATCH($R127,B_InitialSituation!$Q$9:$Q$153,0))*$AH127)</f>
        <v>#VALUE!</v>
      </c>
      <c r="AN127" s="431" t="e">
        <f>IF(AN$75&lt;=CNTR_YearMergerSplit,"",INDEX(B_InitialSituation!L$9:L$153,MATCH($R127,B_InitialSituation!$Q$9:$Q$153,0))*$AH127)</f>
        <v>#VALUE!</v>
      </c>
      <c r="AO127" s="431" t="e">
        <f>IF(AO$75&lt;=CNTR_YearMergerSplit,"",INDEX(B_InitialSituation!M$9:M$153,MATCH($R127,B_InitialSituation!$Q$9:$Q$153,0))*$AH127)</f>
        <v>#VALUE!</v>
      </c>
      <c r="AP127" s="431" t="e">
        <f>IF(AP$75&lt;=CNTR_YearMergerSplit,"",INDEX(B_InitialSituation!N$9:N$153,MATCH($R127,B_InitialSituation!$Q$9:$Q$153,0))*$AH127)</f>
        <v>#VALUE!</v>
      </c>
      <c r="AQ127" s="423"/>
    </row>
    <row r="128" spans="1:43" s="522" customFormat="1" ht="12.75" customHeight="1">
      <c r="A128" s="4"/>
      <c r="B128" s="5"/>
      <c r="C128" s="555">
        <v>6</v>
      </c>
      <c r="D128" s="1036">
        <f t="shared" si="46"/>
      </c>
      <c r="E128" s="1037"/>
      <c r="F128" s="1038"/>
      <c r="G128" s="557">
        <f t="shared" si="44"/>
      </c>
      <c r="H128" s="557">
        <f t="shared" si="35"/>
      </c>
      <c r="I128" s="557">
        <f t="shared" si="36"/>
      </c>
      <c r="J128" s="557">
        <f t="shared" si="37"/>
      </c>
      <c r="K128" s="557">
        <f t="shared" si="38"/>
      </c>
      <c r="L128" s="557">
        <f t="shared" si="39"/>
      </c>
      <c r="M128" s="557">
        <f t="shared" si="40"/>
      </c>
      <c r="N128" s="557">
        <f t="shared" si="41"/>
      </c>
      <c r="O128" s="323"/>
      <c r="P128" s="9"/>
      <c r="Q128" s="451" t="str">
        <f t="shared" si="42"/>
        <v>FInitial_1_</v>
      </c>
      <c r="R128" s="451" t="str">
        <f t="shared" si="43"/>
        <v>FInitial_2_</v>
      </c>
      <c r="S128" s="423"/>
      <c r="T128" s="453">
        <f>IF(COUNTIF(B_InitialSituation!$T$9:$T$153,$C128)=0,"",INDEX(B_InitialSituation!$D$9:$D$153,MATCH($C128,B_InitialSituation!$T$9:$T$153,0)))</f>
      </c>
      <c r="U128" s="423"/>
      <c r="V128" s="453">
        <f t="shared" si="45"/>
        <v>2</v>
      </c>
      <c r="W128" s="423"/>
      <c r="X128" s="430">
        <f>INDEX(CHOOSE($V128,C_MergerSplitTransfer!$H$9:$H$68,C_MergerSplitTransfer!$K$9:$K$68),MATCH(Q128,C_MergerSplitTransfer!$T$9:$T$68,0))</f>
      </c>
      <c r="Y128" s="431" t="e">
        <f>IF(Y$75&lt;=CNTR_YearMergerSplit,"",INDEX(B_InitialSituation!G$9:G$153,MATCH($Q128,B_InitialSituation!$Q$9:$Q$153,0))*$X128)</f>
        <v>#VALUE!</v>
      </c>
      <c r="Z128" s="431" t="e">
        <f>IF(Z$75&lt;=CNTR_YearMergerSplit,"",INDEX(B_InitialSituation!H$9:H$153,MATCH($Q128,B_InitialSituation!$Q$9:$Q$153,0))*$X128)</f>
        <v>#VALUE!</v>
      </c>
      <c r="AA128" s="431" t="e">
        <f>IF(AA$75&lt;=CNTR_YearMergerSplit,"",INDEX(B_InitialSituation!I$9:I$153,MATCH($Q128,B_InitialSituation!$Q$9:$Q$153,0))*$X128)</f>
        <v>#VALUE!</v>
      </c>
      <c r="AB128" s="431" t="e">
        <f>IF(AB$75&lt;=CNTR_YearMergerSplit,"",INDEX(B_InitialSituation!J$9:J$153,MATCH($Q128,B_InitialSituation!$Q$9:$Q$153,0))*$X128)</f>
        <v>#VALUE!</v>
      </c>
      <c r="AC128" s="431" t="e">
        <f>IF(AC$75&lt;=CNTR_YearMergerSplit,"",INDEX(B_InitialSituation!K$9:K$153,MATCH($Q128,B_InitialSituation!$Q$9:$Q$153,0))*$X128)</f>
        <v>#VALUE!</v>
      </c>
      <c r="AD128" s="431" t="e">
        <f>IF(AD$75&lt;=CNTR_YearMergerSplit,"",INDEX(B_InitialSituation!L$9:L$153,MATCH($Q128,B_InitialSituation!$Q$9:$Q$153,0))*$X128)</f>
        <v>#VALUE!</v>
      </c>
      <c r="AE128" s="431" t="e">
        <f>IF(AE$75&lt;=CNTR_YearMergerSplit,"",INDEX(B_InitialSituation!M$9:M$153,MATCH($Q128,B_InitialSituation!$Q$9:$Q$153,0))*$X128)</f>
        <v>#VALUE!</v>
      </c>
      <c r="AF128" s="431" t="e">
        <f>IF(AF$75&lt;=CNTR_YearMergerSplit,"",INDEX(B_InitialSituation!N$9:N$153,MATCH($Q128,B_InitialSituation!$Q$9:$Q$153,0))*$X128)</f>
        <v>#VALUE!</v>
      </c>
      <c r="AG128" s="423"/>
      <c r="AH128" s="430">
        <f>INDEX(CHOOSE($V128,C_MergerSplitTransfer!$H$9:$H$68,C_MergerSplitTransfer!$K$9:$K$68),MATCH(R128,C_MergerSplitTransfer!$T$9:$T$68,0))</f>
      </c>
      <c r="AI128" s="431" t="e">
        <f>IF(AI$75&lt;=CNTR_YearMergerSplit,"",INDEX(B_InitialSituation!G$9:G$153,MATCH($R128,B_InitialSituation!$Q$9:$Q$153,0))*$AH128)</f>
        <v>#VALUE!</v>
      </c>
      <c r="AJ128" s="431" t="e">
        <f>IF(AJ$75&lt;=CNTR_YearMergerSplit,"",INDEX(B_InitialSituation!H$9:H$153,MATCH($R128,B_InitialSituation!$Q$9:$Q$153,0))*$AH128)</f>
        <v>#VALUE!</v>
      </c>
      <c r="AK128" s="431" t="e">
        <f>IF(AK$75&lt;=CNTR_YearMergerSplit,"",INDEX(B_InitialSituation!I$9:I$153,MATCH($R128,B_InitialSituation!$Q$9:$Q$153,0))*$AH128)</f>
        <v>#VALUE!</v>
      </c>
      <c r="AL128" s="431" t="e">
        <f>IF(AL$75&lt;=CNTR_YearMergerSplit,"",INDEX(B_InitialSituation!J$9:J$153,MATCH($R128,B_InitialSituation!$Q$9:$Q$153,0))*$AH128)</f>
        <v>#VALUE!</v>
      </c>
      <c r="AM128" s="431" t="e">
        <f>IF(AM$75&lt;=CNTR_YearMergerSplit,"",INDEX(B_InitialSituation!K$9:K$153,MATCH($R128,B_InitialSituation!$Q$9:$Q$153,0))*$AH128)</f>
        <v>#VALUE!</v>
      </c>
      <c r="AN128" s="431" t="e">
        <f>IF(AN$75&lt;=CNTR_YearMergerSplit,"",INDEX(B_InitialSituation!L$9:L$153,MATCH($R128,B_InitialSituation!$Q$9:$Q$153,0))*$AH128)</f>
        <v>#VALUE!</v>
      </c>
      <c r="AO128" s="431" t="e">
        <f>IF(AO$75&lt;=CNTR_YearMergerSplit,"",INDEX(B_InitialSituation!M$9:M$153,MATCH($R128,B_InitialSituation!$Q$9:$Q$153,0))*$AH128)</f>
        <v>#VALUE!</v>
      </c>
      <c r="AP128" s="431" t="e">
        <f>IF(AP$75&lt;=CNTR_YearMergerSplit,"",INDEX(B_InitialSituation!N$9:N$153,MATCH($R128,B_InitialSituation!$Q$9:$Q$153,0))*$AH128)</f>
        <v>#VALUE!</v>
      </c>
      <c r="AQ128" s="423"/>
    </row>
    <row r="129" spans="1:43" s="522" customFormat="1" ht="12.75" customHeight="1">
      <c r="A129" s="4"/>
      <c r="B129" s="5"/>
      <c r="C129" s="555">
        <v>7</v>
      </c>
      <c r="D129" s="1036">
        <f t="shared" si="46"/>
      </c>
      <c r="E129" s="1037"/>
      <c r="F129" s="1038"/>
      <c r="G129" s="557">
        <f t="shared" si="44"/>
      </c>
      <c r="H129" s="557">
        <f t="shared" si="35"/>
      </c>
      <c r="I129" s="557">
        <f t="shared" si="36"/>
      </c>
      <c r="J129" s="557">
        <f t="shared" si="37"/>
      </c>
      <c r="K129" s="557">
        <f t="shared" si="38"/>
      </c>
      <c r="L129" s="557">
        <f t="shared" si="39"/>
      </c>
      <c r="M129" s="557">
        <f t="shared" si="40"/>
      </c>
      <c r="N129" s="557">
        <f t="shared" si="41"/>
      </c>
      <c r="O129" s="323"/>
      <c r="P129" s="9"/>
      <c r="Q129" s="451" t="str">
        <f t="shared" si="42"/>
        <v>FInitial_1_</v>
      </c>
      <c r="R129" s="451" t="str">
        <f t="shared" si="43"/>
        <v>FInitial_2_</v>
      </c>
      <c r="S129" s="423"/>
      <c r="T129" s="453">
        <f>IF(COUNTIF(B_InitialSituation!$T$9:$T$153,$C129)=0,"",INDEX(B_InitialSituation!$D$9:$D$153,MATCH($C129,B_InitialSituation!$T$9:$T$153,0)))</f>
      </c>
      <c r="U129" s="423"/>
      <c r="V129" s="453">
        <f t="shared" si="45"/>
        <v>2</v>
      </c>
      <c r="W129" s="423"/>
      <c r="X129" s="430">
        <f>INDEX(CHOOSE($V129,C_MergerSplitTransfer!$H$9:$H$68,C_MergerSplitTransfer!$K$9:$K$68),MATCH(Q129,C_MergerSplitTransfer!$T$9:$T$68,0))</f>
      </c>
      <c r="Y129" s="431" t="e">
        <f>IF(Y$75&lt;=CNTR_YearMergerSplit,"",INDEX(B_InitialSituation!G$9:G$153,MATCH($Q129,B_InitialSituation!$Q$9:$Q$153,0))*$X129)</f>
        <v>#VALUE!</v>
      </c>
      <c r="Z129" s="431" t="e">
        <f>IF(Z$75&lt;=CNTR_YearMergerSplit,"",INDEX(B_InitialSituation!H$9:H$153,MATCH($Q129,B_InitialSituation!$Q$9:$Q$153,0))*$X129)</f>
        <v>#VALUE!</v>
      </c>
      <c r="AA129" s="431" t="e">
        <f>IF(AA$75&lt;=CNTR_YearMergerSplit,"",INDEX(B_InitialSituation!I$9:I$153,MATCH($Q129,B_InitialSituation!$Q$9:$Q$153,0))*$X129)</f>
        <v>#VALUE!</v>
      </c>
      <c r="AB129" s="431" t="e">
        <f>IF(AB$75&lt;=CNTR_YearMergerSplit,"",INDEX(B_InitialSituation!J$9:J$153,MATCH($Q129,B_InitialSituation!$Q$9:$Q$153,0))*$X129)</f>
        <v>#VALUE!</v>
      </c>
      <c r="AC129" s="431" t="e">
        <f>IF(AC$75&lt;=CNTR_YearMergerSplit,"",INDEX(B_InitialSituation!K$9:K$153,MATCH($Q129,B_InitialSituation!$Q$9:$Q$153,0))*$X129)</f>
        <v>#VALUE!</v>
      </c>
      <c r="AD129" s="431" t="e">
        <f>IF(AD$75&lt;=CNTR_YearMergerSplit,"",INDEX(B_InitialSituation!L$9:L$153,MATCH($Q129,B_InitialSituation!$Q$9:$Q$153,0))*$X129)</f>
        <v>#VALUE!</v>
      </c>
      <c r="AE129" s="431" t="e">
        <f>IF(AE$75&lt;=CNTR_YearMergerSplit,"",INDEX(B_InitialSituation!M$9:M$153,MATCH($Q129,B_InitialSituation!$Q$9:$Q$153,0))*$X129)</f>
        <v>#VALUE!</v>
      </c>
      <c r="AF129" s="431" t="e">
        <f>IF(AF$75&lt;=CNTR_YearMergerSplit,"",INDEX(B_InitialSituation!N$9:N$153,MATCH($Q129,B_InitialSituation!$Q$9:$Q$153,0))*$X129)</f>
        <v>#VALUE!</v>
      </c>
      <c r="AG129" s="423"/>
      <c r="AH129" s="430">
        <f>INDEX(CHOOSE($V129,C_MergerSplitTransfer!$H$9:$H$68,C_MergerSplitTransfer!$K$9:$K$68),MATCH(R129,C_MergerSplitTransfer!$T$9:$T$68,0))</f>
      </c>
      <c r="AI129" s="431" t="e">
        <f>IF(AI$75&lt;=CNTR_YearMergerSplit,"",INDEX(B_InitialSituation!G$9:G$153,MATCH($R129,B_InitialSituation!$Q$9:$Q$153,0))*$AH129)</f>
        <v>#VALUE!</v>
      </c>
      <c r="AJ129" s="431" t="e">
        <f>IF(AJ$75&lt;=CNTR_YearMergerSplit,"",INDEX(B_InitialSituation!H$9:H$153,MATCH($R129,B_InitialSituation!$Q$9:$Q$153,0))*$AH129)</f>
        <v>#VALUE!</v>
      </c>
      <c r="AK129" s="431" t="e">
        <f>IF(AK$75&lt;=CNTR_YearMergerSplit,"",INDEX(B_InitialSituation!I$9:I$153,MATCH($R129,B_InitialSituation!$Q$9:$Q$153,0))*$AH129)</f>
        <v>#VALUE!</v>
      </c>
      <c r="AL129" s="431" t="e">
        <f>IF(AL$75&lt;=CNTR_YearMergerSplit,"",INDEX(B_InitialSituation!J$9:J$153,MATCH($R129,B_InitialSituation!$Q$9:$Q$153,0))*$AH129)</f>
        <v>#VALUE!</v>
      </c>
      <c r="AM129" s="431" t="e">
        <f>IF(AM$75&lt;=CNTR_YearMergerSplit,"",INDEX(B_InitialSituation!K$9:K$153,MATCH($R129,B_InitialSituation!$Q$9:$Q$153,0))*$AH129)</f>
        <v>#VALUE!</v>
      </c>
      <c r="AN129" s="431" t="e">
        <f>IF(AN$75&lt;=CNTR_YearMergerSplit,"",INDEX(B_InitialSituation!L$9:L$153,MATCH($R129,B_InitialSituation!$Q$9:$Q$153,0))*$AH129)</f>
        <v>#VALUE!</v>
      </c>
      <c r="AO129" s="431" t="e">
        <f>IF(AO$75&lt;=CNTR_YearMergerSplit,"",INDEX(B_InitialSituation!M$9:M$153,MATCH($R129,B_InitialSituation!$Q$9:$Q$153,0))*$AH129)</f>
        <v>#VALUE!</v>
      </c>
      <c r="AP129" s="431" t="e">
        <f>IF(AP$75&lt;=CNTR_YearMergerSplit,"",INDEX(B_InitialSituation!N$9:N$153,MATCH($R129,B_InitialSituation!$Q$9:$Q$153,0))*$AH129)</f>
        <v>#VALUE!</v>
      </c>
      <c r="AQ129" s="423"/>
    </row>
    <row r="130" spans="1:43" s="522" customFormat="1" ht="12.75" customHeight="1">
      <c r="A130" s="4"/>
      <c r="B130" s="5"/>
      <c r="C130" s="555">
        <v>8</v>
      </c>
      <c r="D130" s="1036">
        <f t="shared" si="46"/>
      </c>
      <c r="E130" s="1037"/>
      <c r="F130" s="1038"/>
      <c r="G130" s="557">
        <f t="shared" si="44"/>
      </c>
      <c r="H130" s="557">
        <f t="shared" si="35"/>
      </c>
      <c r="I130" s="557">
        <f t="shared" si="36"/>
      </c>
      <c r="J130" s="557">
        <f t="shared" si="37"/>
      </c>
      <c r="K130" s="557">
        <f t="shared" si="38"/>
      </c>
      <c r="L130" s="557">
        <f t="shared" si="39"/>
      </c>
      <c r="M130" s="557">
        <f t="shared" si="40"/>
      </c>
      <c r="N130" s="557">
        <f t="shared" si="41"/>
      </c>
      <c r="O130" s="323"/>
      <c r="P130" s="9"/>
      <c r="Q130" s="451" t="str">
        <f t="shared" si="42"/>
        <v>FInitial_1_</v>
      </c>
      <c r="R130" s="451" t="str">
        <f t="shared" si="43"/>
        <v>FInitial_2_</v>
      </c>
      <c r="S130" s="423"/>
      <c r="T130" s="453">
        <f>IF(COUNTIF(B_InitialSituation!$T$9:$T$153,$C130)=0,"",INDEX(B_InitialSituation!$D$9:$D$153,MATCH($C130,B_InitialSituation!$T$9:$T$153,0)))</f>
      </c>
      <c r="U130" s="423"/>
      <c r="V130" s="453">
        <f t="shared" si="45"/>
        <v>2</v>
      </c>
      <c r="W130" s="423"/>
      <c r="X130" s="430">
        <f>INDEX(CHOOSE($V130,C_MergerSplitTransfer!$H$9:$H$68,C_MergerSplitTransfer!$K$9:$K$68),MATCH(Q130,C_MergerSplitTransfer!$T$9:$T$68,0))</f>
      </c>
      <c r="Y130" s="431" t="e">
        <f>IF(Y$75&lt;=CNTR_YearMergerSplit,"",INDEX(B_InitialSituation!G$9:G$153,MATCH($Q130,B_InitialSituation!$Q$9:$Q$153,0))*$X130)</f>
        <v>#VALUE!</v>
      </c>
      <c r="Z130" s="431" t="e">
        <f>IF(Z$75&lt;=CNTR_YearMergerSplit,"",INDEX(B_InitialSituation!H$9:H$153,MATCH($Q130,B_InitialSituation!$Q$9:$Q$153,0))*$X130)</f>
        <v>#VALUE!</v>
      </c>
      <c r="AA130" s="431" t="e">
        <f>IF(AA$75&lt;=CNTR_YearMergerSplit,"",INDEX(B_InitialSituation!I$9:I$153,MATCH($Q130,B_InitialSituation!$Q$9:$Q$153,0))*$X130)</f>
        <v>#VALUE!</v>
      </c>
      <c r="AB130" s="431" t="e">
        <f>IF(AB$75&lt;=CNTR_YearMergerSplit,"",INDEX(B_InitialSituation!J$9:J$153,MATCH($Q130,B_InitialSituation!$Q$9:$Q$153,0))*$X130)</f>
        <v>#VALUE!</v>
      </c>
      <c r="AC130" s="431" t="e">
        <f>IF(AC$75&lt;=CNTR_YearMergerSplit,"",INDEX(B_InitialSituation!K$9:K$153,MATCH($Q130,B_InitialSituation!$Q$9:$Q$153,0))*$X130)</f>
        <v>#VALUE!</v>
      </c>
      <c r="AD130" s="431" t="e">
        <f>IF(AD$75&lt;=CNTR_YearMergerSplit,"",INDEX(B_InitialSituation!L$9:L$153,MATCH($Q130,B_InitialSituation!$Q$9:$Q$153,0))*$X130)</f>
        <v>#VALUE!</v>
      </c>
      <c r="AE130" s="431" t="e">
        <f>IF(AE$75&lt;=CNTR_YearMergerSplit,"",INDEX(B_InitialSituation!M$9:M$153,MATCH($Q130,B_InitialSituation!$Q$9:$Q$153,0))*$X130)</f>
        <v>#VALUE!</v>
      </c>
      <c r="AF130" s="431" t="e">
        <f>IF(AF$75&lt;=CNTR_YearMergerSplit,"",INDEX(B_InitialSituation!N$9:N$153,MATCH($Q130,B_InitialSituation!$Q$9:$Q$153,0))*$X130)</f>
        <v>#VALUE!</v>
      </c>
      <c r="AG130" s="423"/>
      <c r="AH130" s="430">
        <f>INDEX(CHOOSE($V130,C_MergerSplitTransfer!$H$9:$H$68,C_MergerSplitTransfer!$K$9:$K$68),MATCH(R130,C_MergerSplitTransfer!$T$9:$T$68,0))</f>
      </c>
      <c r="AI130" s="431" t="e">
        <f>IF(AI$75&lt;=CNTR_YearMergerSplit,"",INDEX(B_InitialSituation!G$9:G$153,MATCH($R130,B_InitialSituation!$Q$9:$Q$153,0))*$AH130)</f>
        <v>#VALUE!</v>
      </c>
      <c r="AJ130" s="431" t="e">
        <f>IF(AJ$75&lt;=CNTR_YearMergerSplit,"",INDEX(B_InitialSituation!H$9:H$153,MATCH($R130,B_InitialSituation!$Q$9:$Q$153,0))*$AH130)</f>
        <v>#VALUE!</v>
      </c>
      <c r="AK130" s="431" t="e">
        <f>IF(AK$75&lt;=CNTR_YearMergerSplit,"",INDEX(B_InitialSituation!I$9:I$153,MATCH($R130,B_InitialSituation!$Q$9:$Q$153,0))*$AH130)</f>
        <v>#VALUE!</v>
      </c>
      <c r="AL130" s="431" t="e">
        <f>IF(AL$75&lt;=CNTR_YearMergerSplit,"",INDEX(B_InitialSituation!J$9:J$153,MATCH($R130,B_InitialSituation!$Q$9:$Q$153,0))*$AH130)</f>
        <v>#VALUE!</v>
      </c>
      <c r="AM130" s="431" t="e">
        <f>IF(AM$75&lt;=CNTR_YearMergerSplit,"",INDEX(B_InitialSituation!K$9:K$153,MATCH($R130,B_InitialSituation!$Q$9:$Q$153,0))*$AH130)</f>
        <v>#VALUE!</v>
      </c>
      <c r="AN130" s="431" t="e">
        <f>IF(AN$75&lt;=CNTR_YearMergerSplit,"",INDEX(B_InitialSituation!L$9:L$153,MATCH($R130,B_InitialSituation!$Q$9:$Q$153,0))*$AH130)</f>
        <v>#VALUE!</v>
      </c>
      <c r="AO130" s="431" t="e">
        <f>IF(AO$75&lt;=CNTR_YearMergerSplit,"",INDEX(B_InitialSituation!M$9:M$153,MATCH($R130,B_InitialSituation!$Q$9:$Q$153,0))*$AH130)</f>
        <v>#VALUE!</v>
      </c>
      <c r="AP130" s="431" t="e">
        <f>IF(AP$75&lt;=CNTR_YearMergerSplit,"",INDEX(B_InitialSituation!N$9:N$153,MATCH($R130,B_InitialSituation!$Q$9:$Q$153,0))*$AH130)</f>
        <v>#VALUE!</v>
      </c>
      <c r="AQ130" s="423"/>
    </row>
    <row r="131" spans="1:43" s="522" customFormat="1" ht="12.75" customHeight="1">
      <c r="A131" s="4"/>
      <c r="B131" s="5"/>
      <c r="C131" s="555">
        <v>9</v>
      </c>
      <c r="D131" s="1036">
        <f t="shared" si="46"/>
      </c>
      <c r="E131" s="1037"/>
      <c r="F131" s="1038"/>
      <c r="G131" s="557">
        <f t="shared" si="44"/>
      </c>
      <c r="H131" s="557">
        <f t="shared" si="35"/>
      </c>
      <c r="I131" s="557">
        <f t="shared" si="36"/>
      </c>
      <c r="J131" s="557">
        <f t="shared" si="37"/>
      </c>
      <c r="K131" s="557">
        <f t="shared" si="38"/>
      </c>
      <c r="L131" s="557">
        <f t="shared" si="39"/>
      </c>
      <c r="M131" s="557">
        <f t="shared" si="40"/>
      </c>
      <c r="N131" s="557">
        <f t="shared" si="41"/>
      </c>
      <c r="O131" s="323"/>
      <c r="P131" s="9"/>
      <c r="Q131" s="451" t="str">
        <f t="shared" si="42"/>
        <v>FInitial_1_</v>
      </c>
      <c r="R131" s="451" t="str">
        <f t="shared" si="43"/>
        <v>FInitial_2_</v>
      </c>
      <c r="S131" s="423"/>
      <c r="T131" s="453">
        <f>IF(COUNTIF(B_InitialSituation!$T$9:$T$153,$C131)=0,"",INDEX(B_InitialSituation!$D$9:$D$153,MATCH($C131,B_InitialSituation!$T$9:$T$153,0)))</f>
      </c>
      <c r="U131" s="423"/>
      <c r="V131" s="453">
        <f t="shared" si="45"/>
        <v>2</v>
      </c>
      <c r="W131" s="423"/>
      <c r="X131" s="430">
        <f>INDEX(CHOOSE($V131,C_MergerSplitTransfer!$H$9:$H$68,C_MergerSplitTransfer!$K$9:$K$68),MATCH(Q131,C_MergerSplitTransfer!$T$9:$T$68,0))</f>
      </c>
      <c r="Y131" s="431" t="e">
        <f>IF(Y$75&lt;=CNTR_YearMergerSplit,"",INDEX(B_InitialSituation!G$9:G$153,MATCH($Q131,B_InitialSituation!$Q$9:$Q$153,0))*$X131)</f>
        <v>#VALUE!</v>
      </c>
      <c r="Z131" s="431" t="e">
        <f>IF(Z$75&lt;=CNTR_YearMergerSplit,"",INDEX(B_InitialSituation!H$9:H$153,MATCH($Q131,B_InitialSituation!$Q$9:$Q$153,0))*$X131)</f>
        <v>#VALUE!</v>
      </c>
      <c r="AA131" s="431" t="e">
        <f>IF(AA$75&lt;=CNTR_YearMergerSplit,"",INDEX(B_InitialSituation!I$9:I$153,MATCH($Q131,B_InitialSituation!$Q$9:$Q$153,0))*$X131)</f>
        <v>#VALUE!</v>
      </c>
      <c r="AB131" s="431" t="e">
        <f>IF(AB$75&lt;=CNTR_YearMergerSplit,"",INDEX(B_InitialSituation!J$9:J$153,MATCH($Q131,B_InitialSituation!$Q$9:$Q$153,0))*$X131)</f>
        <v>#VALUE!</v>
      </c>
      <c r="AC131" s="431" t="e">
        <f>IF(AC$75&lt;=CNTR_YearMergerSplit,"",INDEX(B_InitialSituation!K$9:K$153,MATCH($Q131,B_InitialSituation!$Q$9:$Q$153,0))*$X131)</f>
        <v>#VALUE!</v>
      </c>
      <c r="AD131" s="431" t="e">
        <f>IF(AD$75&lt;=CNTR_YearMergerSplit,"",INDEX(B_InitialSituation!L$9:L$153,MATCH($Q131,B_InitialSituation!$Q$9:$Q$153,0))*$X131)</f>
        <v>#VALUE!</v>
      </c>
      <c r="AE131" s="431" t="e">
        <f>IF(AE$75&lt;=CNTR_YearMergerSplit,"",INDEX(B_InitialSituation!M$9:M$153,MATCH($Q131,B_InitialSituation!$Q$9:$Q$153,0))*$X131)</f>
        <v>#VALUE!</v>
      </c>
      <c r="AF131" s="431" t="e">
        <f>IF(AF$75&lt;=CNTR_YearMergerSplit,"",INDEX(B_InitialSituation!N$9:N$153,MATCH($Q131,B_InitialSituation!$Q$9:$Q$153,0))*$X131)</f>
        <v>#VALUE!</v>
      </c>
      <c r="AG131" s="423"/>
      <c r="AH131" s="430">
        <f>INDEX(CHOOSE($V131,C_MergerSplitTransfer!$H$9:$H$68,C_MergerSplitTransfer!$K$9:$K$68),MATCH(R131,C_MergerSplitTransfer!$T$9:$T$68,0))</f>
      </c>
      <c r="AI131" s="431" t="e">
        <f>IF(AI$75&lt;=CNTR_YearMergerSplit,"",INDEX(B_InitialSituation!G$9:G$153,MATCH($R131,B_InitialSituation!$Q$9:$Q$153,0))*$AH131)</f>
        <v>#VALUE!</v>
      </c>
      <c r="AJ131" s="431" t="e">
        <f>IF(AJ$75&lt;=CNTR_YearMergerSplit,"",INDEX(B_InitialSituation!H$9:H$153,MATCH($R131,B_InitialSituation!$Q$9:$Q$153,0))*$AH131)</f>
        <v>#VALUE!</v>
      </c>
      <c r="AK131" s="431" t="e">
        <f>IF(AK$75&lt;=CNTR_YearMergerSplit,"",INDEX(B_InitialSituation!I$9:I$153,MATCH($R131,B_InitialSituation!$Q$9:$Q$153,0))*$AH131)</f>
        <v>#VALUE!</v>
      </c>
      <c r="AL131" s="431" t="e">
        <f>IF(AL$75&lt;=CNTR_YearMergerSplit,"",INDEX(B_InitialSituation!J$9:J$153,MATCH($R131,B_InitialSituation!$Q$9:$Q$153,0))*$AH131)</f>
        <v>#VALUE!</v>
      </c>
      <c r="AM131" s="431" t="e">
        <f>IF(AM$75&lt;=CNTR_YearMergerSplit,"",INDEX(B_InitialSituation!K$9:K$153,MATCH($R131,B_InitialSituation!$Q$9:$Q$153,0))*$AH131)</f>
        <v>#VALUE!</v>
      </c>
      <c r="AN131" s="431" t="e">
        <f>IF(AN$75&lt;=CNTR_YearMergerSplit,"",INDEX(B_InitialSituation!L$9:L$153,MATCH($R131,B_InitialSituation!$Q$9:$Q$153,0))*$AH131)</f>
        <v>#VALUE!</v>
      </c>
      <c r="AO131" s="431" t="e">
        <f>IF(AO$75&lt;=CNTR_YearMergerSplit,"",INDEX(B_InitialSituation!M$9:M$153,MATCH($R131,B_InitialSituation!$Q$9:$Q$153,0))*$AH131)</f>
        <v>#VALUE!</v>
      </c>
      <c r="AP131" s="431" t="e">
        <f>IF(AP$75&lt;=CNTR_YearMergerSplit,"",INDEX(B_InitialSituation!N$9:N$153,MATCH($R131,B_InitialSituation!$Q$9:$Q$153,0))*$AH131)</f>
        <v>#VALUE!</v>
      </c>
      <c r="AQ131" s="423"/>
    </row>
    <row r="132" spans="1:43" s="522" customFormat="1" ht="12.75" customHeight="1" thickBot="1">
      <c r="A132" s="4"/>
      <c r="B132" s="5"/>
      <c r="C132" s="558">
        <v>10</v>
      </c>
      <c r="D132" s="1039">
        <f t="shared" si="46"/>
      </c>
      <c r="E132" s="1040"/>
      <c r="F132" s="1041"/>
      <c r="G132" s="559">
        <f t="shared" si="44"/>
      </c>
      <c r="H132" s="559">
        <f t="shared" si="35"/>
      </c>
      <c r="I132" s="559">
        <f t="shared" si="36"/>
      </c>
      <c r="J132" s="559">
        <f t="shared" si="37"/>
      </c>
      <c r="K132" s="559">
        <f t="shared" si="38"/>
      </c>
      <c r="L132" s="559">
        <f t="shared" si="39"/>
      </c>
      <c r="M132" s="559">
        <f t="shared" si="40"/>
      </c>
      <c r="N132" s="559">
        <f t="shared" si="41"/>
      </c>
      <c r="O132" s="323"/>
      <c r="P132" s="9"/>
      <c r="Q132" s="451" t="str">
        <f t="shared" si="42"/>
        <v>FInitial_1_</v>
      </c>
      <c r="R132" s="451" t="str">
        <f t="shared" si="43"/>
        <v>FInitial_2_</v>
      </c>
      <c r="S132" s="423"/>
      <c r="T132" s="454">
        <f>IF(COUNTIF(B_InitialSituation!$T$9:$T$153,$C132)=0,"",INDEX(B_InitialSituation!$D$9:$D$153,MATCH($C132,B_InitialSituation!$T$9:$T$153,0)))</f>
      </c>
      <c r="U132" s="423"/>
      <c r="V132" s="453">
        <f t="shared" si="45"/>
        <v>2</v>
      </c>
      <c r="W132" s="423"/>
      <c r="X132" s="432">
        <f>INDEX(CHOOSE($V132,C_MergerSplitTransfer!$H$9:$H$68,C_MergerSplitTransfer!$K$9:$K$68),MATCH(Q132,C_MergerSplitTransfer!$T$9:$T$68,0))</f>
      </c>
      <c r="Y132" s="433" t="e">
        <f>IF(Y$75&lt;=CNTR_YearMergerSplit,"",INDEX(B_InitialSituation!G$9:G$153,MATCH($Q132,B_InitialSituation!$Q$9:$Q$153,0))*$X132)</f>
        <v>#VALUE!</v>
      </c>
      <c r="Z132" s="433" t="e">
        <f>IF(Z$75&lt;=CNTR_YearMergerSplit,"",INDEX(B_InitialSituation!H$9:H$153,MATCH($Q132,B_InitialSituation!$Q$9:$Q$153,0))*$X132)</f>
        <v>#VALUE!</v>
      </c>
      <c r="AA132" s="433" t="e">
        <f>IF(AA$75&lt;=CNTR_YearMergerSplit,"",INDEX(B_InitialSituation!I$9:I$153,MATCH($Q132,B_InitialSituation!$Q$9:$Q$153,0))*$X132)</f>
        <v>#VALUE!</v>
      </c>
      <c r="AB132" s="433" t="e">
        <f>IF(AB$75&lt;=CNTR_YearMergerSplit,"",INDEX(B_InitialSituation!J$9:J$153,MATCH($Q132,B_InitialSituation!$Q$9:$Q$153,0))*$X132)</f>
        <v>#VALUE!</v>
      </c>
      <c r="AC132" s="433" t="e">
        <f>IF(AC$75&lt;=CNTR_YearMergerSplit,"",INDEX(B_InitialSituation!K$9:K$153,MATCH($Q132,B_InitialSituation!$Q$9:$Q$153,0))*$X132)</f>
        <v>#VALUE!</v>
      </c>
      <c r="AD132" s="433" t="e">
        <f>IF(AD$75&lt;=CNTR_YearMergerSplit,"",INDEX(B_InitialSituation!L$9:L$153,MATCH($Q132,B_InitialSituation!$Q$9:$Q$153,0))*$X132)</f>
        <v>#VALUE!</v>
      </c>
      <c r="AE132" s="433" t="e">
        <f>IF(AE$75&lt;=CNTR_YearMergerSplit,"",INDEX(B_InitialSituation!M$9:M$153,MATCH($Q132,B_InitialSituation!$Q$9:$Q$153,0))*$X132)</f>
        <v>#VALUE!</v>
      </c>
      <c r="AF132" s="433" t="e">
        <f>IF(AF$75&lt;=CNTR_YearMergerSplit,"",INDEX(B_InitialSituation!N$9:N$153,MATCH($Q132,B_InitialSituation!$Q$9:$Q$153,0))*$X132)</f>
        <v>#VALUE!</v>
      </c>
      <c r="AG132" s="423"/>
      <c r="AH132" s="432">
        <f>INDEX(CHOOSE($V132,C_MergerSplitTransfer!$H$9:$H$68,C_MergerSplitTransfer!$K$9:$K$68),MATCH(R132,C_MergerSplitTransfer!$T$9:$T$68,0))</f>
      </c>
      <c r="AI132" s="433" t="e">
        <f>IF(AI$75&lt;=CNTR_YearMergerSplit,"",INDEX(B_InitialSituation!G$9:G$153,MATCH($R132,B_InitialSituation!$Q$9:$Q$153,0))*$AH132)</f>
        <v>#VALUE!</v>
      </c>
      <c r="AJ132" s="433" t="e">
        <f>IF(AJ$75&lt;=CNTR_YearMergerSplit,"",INDEX(B_InitialSituation!H$9:H$153,MATCH($R132,B_InitialSituation!$Q$9:$Q$153,0))*$AH132)</f>
        <v>#VALUE!</v>
      </c>
      <c r="AK132" s="433" t="e">
        <f>IF(AK$75&lt;=CNTR_YearMergerSplit,"",INDEX(B_InitialSituation!I$9:I$153,MATCH($R132,B_InitialSituation!$Q$9:$Q$153,0))*$AH132)</f>
        <v>#VALUE!</v>
      </c>
      <c r="AL132" s="433" t="e">
        <f>IF(AL$75&lt;=CNTR_YearMergerSplit,"",INDEX(B_InitialSituation!J$9:J$153,MATCH($R132,B_InitialSituation!$Q$9:$Q$153,0))*$AH132)</f>
        <v>#VALUE!</v>
      </c>
      <c r="AM132" s="433" t="e">
        <f>IF(AM$75&lt;=CNTR_YearMergerSplit,"",INDEX(B_InitialSituation!K$9:K$153,MATCH($R132,B_InitialSituation!$Q$9:$Q$153,0))*$AH132)</f>
        <v>#VALUE!</v>
      </c>
      <c r="AN132" s="433" t="e">
        <f>IF(AN$75&lt;=CNTR_YearMergerSplit,"",INDEX(B_InitialSituation!L$9:L$153,MATCH($R132,B_InitialSituation!$Q$9:$Q$153,0))*$AH132)</f>
        <v>#VALUE!</v>
      </c>
      <c r="AO132" s="433" t="e">
        <f>IF(AO$75&lt;=CNTR_YearMergerSplit,"",INDEX(B_InitialSituation!M$9:M$153,MATCH($R132,B_InitialSituation!$Q$9:$Q$153,0))*$AH132)</f>
        <v>#VALUE!</v>
      </c>
      <c r="AP132" s="433" t="e">
        <f>IF(AP$75&lt;=CNTR_YearMergerSplit,"",INDEX(B_InitialSituation!N$9:N$153,MATCH($R132,B_InitialSituation!$Q$9:$Q$153,0))*$AH132)</f>
        <v>#VALUE!</v>
      </c>
      <c r="AQ132" s="423"/>
    </row>
    <row r="133" spans="1:43" s="522" customFormat="1" ht="38.25" customHeight="1">
      <c r="A133" s="4"/>
      <c r="B133" s="5"/>
      <c r="C133" s="555">
        <v>11</v>
      </c>
      <c r="D133" s="1042" t="str">
        <f aca="true" t="shared" si="47" ref="D133:D138">INDEX(EUconst_FallBackListNames,C133-10)</f>
        <v>Sous-installation avec référentiel de chaleur, CL (risque de fuite de carbone)</v>
      </c>
      <c r="E133" s="1043"/>
      <c r="F133" s="1044"/>
      <c r="G133" s="556">
        <f t="shared" si="44"/>
      </c>
      <c r="H133" s="556">
        <f t="shared" si="35"/>
      </c>
      <c r="I133" s="556">
        <f t="shared" si="36"/>
      </c>
      <c r="J133" s="556">
        <f t="shared" si="37"/>
      </c>
      <c r="K133" s="556">
        <f t="shared" si="38"/>
      </c>
      <c r="L133" s="556">
        <f t="shared" si="39"/>
      </c>
      <c r="M133" s="556">
        <f t="shared" si="40"/>
      </c>
      <c r="N133" s="556">
        <f t="shared" si="41"/>
      </c>
      <c r="O133" s="323"/>
      <c r="P133" s="9"/>
      <c r="Q133" s="451" t="str">
        <f t="shared" si="42"/>
        <v>FInitial_1_Sous-installation avec référentiel de chaleur, CL (risque de fuite de carbone)</v>
      </c>
      <c r="R133" s="451" t="str">
        <f t="shared" si="43"/>
        <v>FInitial_2_Sous-installation avec référentiel de chaleur, CL (risque de fuite de carbone)</v>
      </c>
      <c r="S133" s="423"/>
      <c r="T133" s="423"/>
      <c r="U133" s="423"/>
      <c r="V133" s="453">
        <f t="shared" si="45"/>
        <v>2</v>
      </c>
      <c r="W133" s="423"/>
      <c r="X133" s="428">
        <f>INDEX(CHOOSE($V133,C_MergerSplitTransfer!$H$9:$H$68,C_MergerSplitTransfer!$K$9:$K$68),MATCH(Q133,C_MergerSplitTransfer!$T$9:$T$68,0))</f>
      </c>
      <c r="Y133" s="429" t="e">
        <f>IF(Y$75&lt;=CNTR_YearMergerSplit,"",INDEX(B_InitialSituation!G$9:G$153,MATCH($Q133,B_InitialSituation!$Q$9:$Q$153,0))*$X133)</f>
        <v>#VALUE!</v>
      </c>
      <c r="Z133" s="429" t="e">
        <f>IF(Z$75&lt;=CNTR_YearMergerSplit,"",INDEX(B_InitialSituation!H$9:H$153,MATCH($Q133,B_InitialSituation!$Q$9:$Q$153,0))*$X133)</f>
        <v>#VALUE!</v>
      </c>
      <c r="AA133" s="429" t="e">
        <f>IF(AA$75&lt;=CNTR_YearMergerSplit,"",INDEX(B_InitialSituation!I$9:I$153,MATCH($Q133,B_InitialSituation!$Q$9:$Q$153,0))*$X133)</f>
        <v>#VALUE!</v>
      </c>
      <c r="AB133" s="429" t="e">
        <f>IF(AB$75&lt;=CNTR_YearMergerSplit,"",INDEX(B_InitialSituation!J$9:J$153,MATCH($Q133,B_InitialSituation!$Q$9:$Q$153,0))*$X133)</f>
        <v>#VALUE!</v>
      </c>
      <c r="AC133" s="429" t="e">
        <f>IF(AC$75&lt;=CNTR_YearMergerSplit,"",INDEX(B_InitialSituation!K$9:K$153,MATCH($Q133,B_InitialSituation!$Q$9:$Q$153,0))*$X133)</f>
        <v>#VALUE!</v>
      </c>
      <c r="AD133" s="429" t="e">
        <f>IF(AD$75&lt;=CNTR_YearMergerSplit,"",INDEX(B_InitialSituation!L$9:L$153,MATCH($Q133,B_InitialSituation!$Q$9:$Q$153,0))*$X133)</f>
        <v>#VALUE!</v>
      </c>
      <c r="AE133" s="429" t="e">
        <f>IF(AE$75&lt;=CNTR_YearMergerSplit,"",INDEX(B_InitialSituation!M$9:M$153,MATCH($Q133,B_InitialSituation!$Q$9:$Q$153,0))*$X133)</f>
        <v>#VALUE!</v>
      </c>
      <c r="AF133" s="429" t="e">
        <f>IF(AF$75&lt;=CNTR_YearMergerSplit,"",INDEX(B_InitialSituation!N$9:N$153,MATCH($Q133,B_InitialSituation!$Q$9:$Q$153,0))*$X133)</f>
        <v>#VALUE!</v>
      </c>
      <c r="AG133" s="423"/>
      <c r="AH133" s="428">
        <f>INDEX(CHOOSE($V133,C_MergerSplitTransfer!$H$9:$H$68,C_MergerSplitTransfer!$K$9:$K$68),MATCH(R133,C_MergerSplitTransfer!$T$9:$T$68,0))</f>
      </c>
      <c r="AI133" s="429" t="e">
        <f>IF(AI$75&lt;=CNTR_YearMergerSplit,"",INDEX(B_InitialSituation!G$9:G$153,MATCH($R133,B_InitialSituation!$Q$9:$Q$153,0))*$AH133)</f>
        <v>#VALUE!</v>
      </c>
      <c r="AJ133" s="429" t="e">
        <f>IF(AJ$75&lt;=CNTR_YearMergerSplit,"",INDEX(B_InitialSituation!H$9:H$153,MATCH($R133,B_InitialSituation!$Q$9:$Q$153,0))*$AH133)</f>
        <v>#VALUE!</v>
      </c>
      <c r="AK133" s="429" t="e">
        <f>IF(AK$75&lt;=CNTR_YearMergerSplit,"",INDEX(B_InitialSituation!I$9:I$153,MATCH($R133,B_InitialSituation!$Q$9:$Q$153,0))*$AH133)</f>
        <v>#VALUE!</v>
      </c>
      <c r="AL133" s="429" t="e">
        <f>IF(AL$75&lt;=CNTR_YearMergerSplit,"",INDEX(B_InitialSituation!J$9:J$153,MATCH($R133,B_InitialSituation!$Q$9:$Q$153,0))*$AH133)</f>
        <v>#VALUE!</v>
      </c>
      <c r="AM133" s="429" t="e">
        <f>IF(AM$75&lt;=CNTR_YearMergerSplit,"",INDEX(B_InitialSituation!K$9:K$153,MATCH($R133,B_InitialSituation!$Q$9:$Q$153,0))*$AH133)</f>
        <v>#VALUE!</v>
      </c>
      <c r="AN133" s="429" t="e">
        <f>IF(AN$75&lt;=CNTR_YearMergerSplit,"",INDEX(B_InitialSituation!L$9:L$153,MATCH($R133,B_InitialSituation!$Q$9:$Q$153,0))*$AH133)</f>
        <v>#VALUE!</v>
      </c>
      <c r="AO133" s="429" t="e">
        <f>IF(AO$75&lt;=CNTR_YearMergerSplit,"",INDEX(B_InitialSituation!M$9:M$153,MATCH($R133,B_InitialSituation!$Q$9:$Q$153,0))*$AH133)</f>
        <v>#VALUE!</v>
      </c>
      <c r="AP133" s="429" t="e">
        <f>IF(AP$75&lt;=CNTR_YearMergerSplit,"",INDEX(B_InitialSituation!N$9:N$153,MATCH($R133,B_InitialSituation!$Q$9:$Q$153,0))*$AH133)</f>
        <v>#VALUE!</v>
      </c>
      <c r="AQ133" s="423"/>
    </row>
    <row r="134" spans="1:43" s="522" customFormat="1" ht="38.25" customHeight="1">
      <c r="A134" s="4"/>
      <c r="B134" s="5"/>
      <c r="C134" s="555">
        <v>12</v>
      </c>
      <c r="D134" s="1045" t="str">
        <f t="shared" si="47"/>
        <v>Sous-installation avec référentiel de chaleur, non-CL (sans risque de fuite de carbone)</v>
      </c>
      <c r="E134" s="1046"/>
      <c r="F134" s="1047"/>
      <c r="G134" s="557">
        <f t="shared" si="44"/>
      </c>
      <c r="H134" s="557">
        <f t="shared" si="35"/>
      </c>
      <c r="I134" s="557">
        <f t="shared" si="36"/>
      </c>
      <c r="J134" s="557">
        <f t="shared" si="37"/>
      </c>
      <c r="K134" s="557">
        <f t="shared" si="38"/>
      </c>
      <c r="L134" s="557">
        <f t="shared" si="39"/>
      </c>
      <c r="M134" s="557">
        <f t="shared" si="40"/>
      </c>
      <c r="N134" s="557">
        <f t="shared" si="41"/>
      </c>
      <c r="O134" s="323"/>
      <c r="P134" s="9"/>
      <c r="Q134" s="451" t="str">
        <f t="shared" si="42"/>
        <v>FInitial_1_Sous-installation avec référentiel de chaleur, non-CL (sans risque de fuite de carbone)</v>
      </c>
      <c r="R134" s="451" t="str">
        <f t="shared" si="43"/>
        <v>FInitial_2_Sous-installation avec référentiel de chaleur, non-CL (sans risque de fuite de carbone)</v>
      </c>
      <c r="S134" s="423"/>
      <c r="T134" s="423"/>
      <c r="U134" s="423"/>
      <c r="V134" s="453">
        <f t="shared" si="45"/>
        <v>2</v>
      </c>
      <c r="W134" s="423"/>
      <c r="X134" s="430">
        <f>INDEX(CHOOSE($V134,C_MergerSplitTransfer!$H$9:$H$68,C_MergerSplitTransfer!$K$9:$K$68),MATCH(Q134,C_MergerSplitTransfer!$T$9:$T$68,0))</f>
      </c>
      <c r="Y134" s="431" t="e">
        <f>IF(Y$75&lt;=CNTR_YearMergerSplit,"",INDEX(B_InitialSituation!G$9:G$153,MATCH($Q134,B_InitialSituation!$Q$9:$Q$153,0))*$X134)</f>
        <v>#VALUE!</v>
      </c>
      <c r="Z134" s="431" t="e">
        <f>IF(Z$75&lt;=CNTR_YearMergerSplit,"",INDEX(B_InitialSituation!H$9:H$153,MATCH($Q134,B_InitialSituation!$Q$9:$Q$153,0))*$X134)</f>
        <v>#VALUE!</v>
      </c>
      <c r="AA134" s="431" t="e">
        <f>IF(AA$75&lt;=CNTR_YearMergerSplit,"",INDEX(B_InitialSituation!I$9:I$153,MATCH($Q134,B_InitialSituation!$Q$9:$Q$153,0))*$X134)</f>
        <v>#VALUE!</v>
      </c>
      <c r="AB134" s="431" t="e">
        <f>IF(AB$75&lt;=CNTR_YearMergerSplit,"",INDEX(B_InitialSituation!J$9:J$153,MATCH($Q134,B_InitialSituation!$Q$9:$Q$153,0))*$X134)</f>
        <v>#VALUE!</v>
      </c>
      <c r="AC134" s="431" t="e">
        <f>IF(AC$75&lt;=CNTR_YearMergerSplit,"",INDEX(B_InitialSituation!K$9:K$153,MATCH($Q134,B_InitialSituation!$Q$9:$Q$153,0))*$X134)</f>
        <v>#VALUE!</v>
      </c>
      <c r="AD134" s="431" t="e">
        <f>IF(AD$75&lt;=CNTR_YearMergerSplit,"",INDEX(B_InitialSituation!L$9:L$153,MATCH($Q134,B_InitialSituation!$Q$9:$Q$153,0))*$X134)</f>
        <v>#VALUE!</v>
      </c>
      <c r="AE134" s="431" t="e">
        <f>IF(AE$75&lt;=CNTR_YearMergerSplit,"",INDEX(B_InitialSituation!M$9:M$153,MATCH($Q134,B_InitialSituation!$Q$9:$Q$153,0))*$X134)</f>
        <v>#VALUE!</v>
      </c>
      <c r="AF134" s="431" t="e">
        <f>IF(AF$75&lt;=CNTR_YearMergerSplit,"",INDEX(B_InitialSituation!N$9:N$153,MATCH($Q134,B_InitialSituation!$Q$9:$Q$153,0))*$X134)</f>
        <v>#VALUE!</v>
      </c>
      <c r="AG134" s="423"/>
      <c r="AH134" s="430">
        <f>INDEX(CHOOSE($V134,C_MergerSplitTransfer!$H$9:$H$68,C_MergerSplitTransfer!$K$9:$K$68),MATCH(R134,C_MergerSplitTransfer!$T$9:$T$68,0))</f>
      </c>
      <c r="AI134" s="431" t="e">
        <f>IF(AI$75&lt;=CNTR_YearMergerSplit,"",INDEX(B_InitialSituation!G$9:G$153,MATCH($R134,B_InitialSituation!$Q$9:$Q$153,0))*$AH134)</f>
        <v>#VALUE!</v>
      </c>
      <c r="AJ134" s="431" t="e">
        <f>IF(AJ$75&lt;=CNTR_YearMergerSplit,"",INDEX(B_InitialSituation!H$9:H$153,MATCH($R134,B_InitialSituation!$Q$9:$Q$153,0))*$AH134)</f>
        <v>#VALUE!</v>
      </c>
      <c r="AK134" s="431" t="e">
        <f>IF(AK$75&lt;=CNTR_YearMergerSplit,"",INDEX(B_InitialSituation!I$9:I$153,MATCH($R134,B_InitialSituation!$Q$9:$Q$153,0))*$AH134)</f>
        <v>#VALUE!</v>
      </c>
      <c r="AL134" s="431" t="e">
        <f>IF(AL$75&lt;=CNTR_YearMergerSplit,"",INDEX(B_InitialSituation!J$9:J$153,MATCH($R134,B_InitialSituation!$Q$9:$Q$153,0))*$AH134)</f>
        <v>#VALUE!</v>
      </c>
      <c r="AM134" s="431" t="e">
        <f>IF(AM$75&lt;=CNTR_YearMergerSplit,"",INDEX(B_InitialSituation!K$9:K$153,MATCH($R134,B_InitialSituation!$Q$9:$Q$153,0))*$AH134)</f>
        <v>#VALUE!</v>
      </c>
      <c r="AN134" s="431" t="e">
        <f>IF(AN$75&lt;=CNTR_YearMergerSplit,"",INDEX(B_InitialSituation!L$9:L$153,MATCH($R134,B_InitialSituation!$Q$9:$Q$153,0))*$AH134)</f>
        <v>#VALUE!</v>
      </c>
      <c r="AO134" s="431" t="e">
        <f>IF(AO$75&lt;=CNTR_YearMergerSplit,"",INDEX(B_InitialSituation!M$9:M$153,MATCH($R134,B_InitialSituation!$Q$9:$Q$153,0))*$AH134)</f>
        <v>#VALUE!</v>
      </c>
      <c r="AP134" s="431" t="e">
        <f>IF(AP$75&lt;=CNTR_YearMergerSplit,"",INDEX(B_InitialSituation!N$9:N$153,MATCH($R134,B_InitialSituation!$Q$9:$Q$153,0))*$AH134)</f>
        <v>#VALUE!</v>
      </c>
      <c r="AQ134" s="423"/>
    </row>
    <row r="135" spans="1:43" s="522" customFormat="1" ht="25.5" customHeight="1">
      <c r="A135" s="4"/>
      <c r="B135" s="5"/>
      <c r="C135" s="555">
        <v>13</v>
      </c>
      <c r="D135" s="1045" t="str">
        <f t="shared" si="47"/>
        <v>Sous-installation avec référentiel de combustibles, CL</v>
      </c>
      <c r="E135" s="1046"/>
      <c r="F135" s="1047"/>
      <c r="G135" s="557">
        <f t="shared" si="44"/>
      </c>
      <c r="H135" s="557">
        <f t="shared" si="35"/>
      </c>
      <c r="I135" s="557">
        <f t="shared" si="36"/>
      </c>
      <c r="J135" s="557">
        <f t="shared" si="37"/>
      </c>
      <c r="K135" s="557">
        <f t="shared" si="38"/>
      </c>
      <c r="L135" s="557">
        <f t="shared" si="39"/>
      </c>
      <c r="M135" s="557">
        <f t="shared" si="40"/>
      </c>
      <c r="N135" s="557">
        <f t="shared" si="41"/>
      </c>
      <c r="O135" s="323"/>
      <c r="P135" s="9"/>
      <c r="Q135" s="451" t="str">
        <f t="shared" si="42"/>
        <v>FInitial_1_Sous-installation avec référentiel de combustibles, CL</v>
      </c>
      <c r="R135" s="451" t="str">
        <f t="shared" si="43"/>
        <v>FInitial_2_Sous-installation avec référentiel de combustibles, CL</v>
      </c>
      <c r="S135" s="423"/>
      <c r="T135" s="423"/>
      <c r="U135" s="423"/>
      <c r="V135" s="453">
        <f t="shared" si="45"/>
        <v>2</v>
      </c>
      <c r="W135" s="423"/>
      <c r="X135" s="430">
        <f>INDEX(CHOOSE($V135,C_MergerSplitTransfer!$H$9:$H$68,C_MergerSplitTransfer!$K$9:$K$68),MATCH(Q135,C_MergerSplitTransfer!$T$9:$T$68,0))</f>
      </c>
      <c r="Y135" s="431" t="e">
        <f>IF(Y$75&lt;=CNTR_YearMergerSplit,"",INDEX(B_InitialSituation!G$9:G$153,MATCH($Q135,B_InitialSituation!$Q$9:$Q$153,0))*$X135)</f>
        <v>#VALUE!</v>
      </c>
      <c r="Z135" s="431" t="e">
        <f>IF(Z$75&lt;=CNTR_YearMergerSplit,"",INDEX(B_InitialSituation!H$9:H$153,MATCH($Q135,B_InitialSituation!$Q$9:$Q$153,0))*$X135)</f>
        <v>#VALUE!</v>
      </c>
      <c r="AA135" s="431" t="e">
        <f>IF(AA$75&lt;=CNTR_YearMergerSplit,"",INDEX(B_InitialSituation!I$9:I$153,MATCH($Q135,B_InitialSituation!$Q$9:$Q$153,0))*$X135)</f>
        <v>#VALUE!</v>
      </c>
      <c r="AB135" s="431" t="e">
        <f>IF(AB$75&lt;=CNTR_YearMergerSplit,"",INDEX(B_InitialSituation!J$9:J$153,MATCH($Q135,B_InitialSituation!$Q$9:$Q$153,0))*$X135)</f>
        <v>#VALUE!</v>
      </c>
      <c r="AC135" s="431" t="e">
        <f>IF(AC$75&lt;=CNTR_YearMergerSplit,"",INDEX(B_InitialSituation!K$9:K$153,MATCH($Q135,B_InitialSituation!$Q$9:$Q$153,0))*$X135)</f>
        <v>#VALUE!</v>
      </c>
      <c r="AD135" s="431" t="e">
        <f>IF(AD$75&lt;=CNTR_YearMergerSplit,"",INDEX(B_InitialSituation!L$9:L$153,MATCH($Q135,B_InitialSituation!$Q$9:$Q$153,0))*$X135)</f>
        <v>#VALUE!</v>
      </c>
      <c r="AE135" s="431" t="e">
        <f>IF(AE$75&lt;=CNTR_YearMergerSplit,"",INDEX(B_InitialSituation!M$9:M$153,MATCH($Q135,B_InitialSituation!$Q$9:$Q$153,0))*$X135)</f>
        <v>#VALUE!</v>
      </c>
      <c r="AF135" s="431" t="e">
        <f>IF(AF$75&lt;=CNTR_YearMergerSplit,"",INDEX(B_InitialSituation!N$9:N$153,MATCH($Q135,B_InitialSituation!$Q$9:$Q$153,0))*$X135)</f>
        <v>#VALUE!</v>
      </c>
      <c r="AG135" s="423"/>
      <c r="AH135" s="430">
        <f>INDEX(CHOOSE($V135,C_MergerSplitTransfer!$H$9:$H$68,C_MergerSplitTransfer!$K$9:$K$68),MATCH(R135,C_MergerSplitTransfer!$T$9:$T$68,0))</f>
      </c>
      <c r="AI135" s="431" t="e">
        <f>IF(AI$75&lt;=CNTR_YearMergerSplit,"",INDEX(B_InitialSituation!G$9:G$153,MATCH($R135,B_InitialSituation!$Q$9:$Q$153,0))*$AH135)</f>
        <v>#VALUE!</v>
      </c>
      <c r="AJ135" s="431" t="e">
        <f>IF(AJ$75&lt;=CNTR_YearMergerSplit,"",INDEX(B_InitialSituation!H$9:H$153,MATCH($R135,B_InitialSituation!$Q$9:$Q$153,0))*$AH135)</f>
        <v>#VALUE!</v>
      </c>
      <c r="AK135" s="431" t="e">
        <f>IF(AK$75&lt;=CNTR_YearMergerSplit,"",INDEX(B_InitialSituation!I$9:I$153,MATCH($R135,B_InitialSituation!$Q$9:$Q$153,0))*$AH135)</f>
        <v>#VALUE!</v>
      </c>
      <c r="AL135" s="431" t="e">
        <f>IF(AL$75&lt;=CNTR_YearMergerSplit,"",INDEX(B_InitialSituation!J$9:J$153,MATCH($R135,B_InitialSituation!$Q$9:$Q$153,0))*$AH135)</f>
        <v>#VALUE!</v>
      </c>
      <c r="AM135" s="431" t="e">
        <f>IF(AM$75&lt;=CNTR_YearMergerSplit,"",INDEX(B_InitialSituation!K$9:K$153,MATCH($R135,B_InitialSituation!$Q$9:$Q$153,0))*$AH135)</f>
        <v>#VALUE!</v>
      </c>
      <c r="AN135" s="431" t="e">
        <f>IF(AN$75&lt;=CNTR_YearMergerSplit,"",INDEX(B_InitialSituation!L$9:L$153,MATCH($R135,B_InitialSituation!$Q$9:$Q$153,0))*$AH135)</f>
        <v>#VALUE!</v>
      </c>
      <c r="AO135" s="431" t="e">
        <f>IF(AO$75&lt;=CNTR_YearMergerSplit,"",INDEX(B_InitialSituation!M$9:M$153,MATCH($R135,B_InitialSituation!$Q$9:$Q$153,0))*$AH135)</f>
        <v>#VALUE!</v>
      </c>
      <c r="AP135" s="431" t="e">
        <f>IF(AP$75&lt;=CNTR_YearMergerSplit,"",INDEX(B_InitialSituation!N$9:N$153,MATCH($R135,B_InitialSituation!$Q$9:$Q$153,0))*$AH135)</f>
        <v>#VALUE!</v>
      </c>
      <c r="AQ135" s="423"/>
    </row>
    <row r="136" spans="1:43" s="522" customFormat="1" ht="25.5" customHeight="1">
      <c r="A136" s="4"/>
      <c r="B136" s="5"/>
      <c r="C136" s="555">
        <v>14</v>
      </c>
      <c r="D136" s="1045" t="str">
        <f t="shared" si="47"/>
        <v>Sous-installation avec référentiel de combustibles, non-CL</v>
      </c>
      <c r="E136" s="1046"/>
      <c r="F136" s="1047"/>
      <c r="G136" s="557">
        <f t="shared" si="44"/>
      </c>
      <c r="H136" s="557">
        <f t="shared" si="35"/>
      </c>
      <c r="I136" s="557">
        <f t="shared" si="36"/>
      </c>
      <c r="J136" s="557">
        <f t="shared" si="37"/>
      </c>
      <c r="K136" s="557">
        <f t="shared" si="38"/>
      </c>
      <c r="L136" s="557">
        <f t="shared" si="39"/>
      </c>
      <c r="M136" s="557">
        <f t="shared" si="40"/>
      </c>
      <c r="N136" s="557">
        <f t="shared" si="41"/>
      </c>
      <c r="O136" s="323"/>
      <c r="P136" s="9"/>
      <c r="Q136" s="451" t="str">
        <f t="shared" si="42"/>
        <v>FInitial_1_Sous-installation avec référentiel de combustibles, non-CL</v>
      </c>
      <c r="R136" s="451" t="str">
        <f t="shared" si="43"/>
        <v>FInitial_2_Sous-installation avec référentiel de combustibles, non-CL</v>
      </c>
      <c r="S136" s="423"/>
      <c r="T136" s="423"/>
      <c r="U136" s="423"/>
      <c r="V136" s="453">
        <f t="shared" si="45"/>
        <v>2</v>
      </c>
      <c r="W136" s="423"/>
      <c r="X136" s="430">
        <f>INDEX(CHOOSE($V136,C_MergerSplitTransfer!$H$9:$H$68,C_MergerSplitTransfer!$K$9:$K$68),MATCH(Q136,C_MergerSplitTransfer!$T$9:$T$68,0))</f>
      </c>
      <c r="Y136" s="431" t="e">
        <f>IF(Y$75&lt;=CNTR_YearMergerSplit,"",INDEX(B_InitialSituation!G$9:G$153,MATCH($Q136,B_InitialSituation!$Q$9:$Q$153,0))*$X136)</f>
        <v>#VALUE!</v>
      </c>
      <c r="Z136" s="431" t="e">
        <f>IF(Z$75&lt;=CNTR_YearMergerSplit,"",INDEX(B_InitialSituation!H$9:H$153,MATCH($Q136,B_InitialSituation!$Q$9:$Q$153,0))*$X136)</f>
        <v>#VALUE!</v>
      </c>
      <c r="AA136" s="431" t="e">
        <f>IF(AA$75&lt;=CNTR_YearMergerSplit,"",INDEX(B_InitialSituation!I$9:I$153,MATCH($Q136,B_InitialSituation!$Q$9:$Q$153,0))*$X136)</f>
        <v>#VALUE!</v>
      </c>
      <c r="AB136" s="431" t="e">
        <f>IF(AB$75&lt;=CNTR_YearMergerSplit,"",INDEX(B_InitialSituation!J$9:J$153,MATCH($Q136,B_InitialSituation!$Q$9:$Q$153,0))*$X136)</f>
        <v>#VALUE!</v>
      </c>
      <c r="AC136" s="431" t="e">
        <f>IF(AC$75&lt;=CNTR_YearMergerSplit,"",INDEX(B_InitialSituation!K$9:K$153,MATCH($Q136,B_InitialSituation!$Q$9:$Q$153,0))*$X136)</f>
        <v>#VALUE!</v>
      </c>
      <c r="AD136" s="431" t="e">
        <f>IF(AD$75&lt;=CNTR_YearMergerSplit,"",INDEX(B_InitialSituation!L$9:L$153,MATCH($Q136,B_InitialSituation!$Q$9:$Q$153,0))*$X136)</f>
        <v>#VALUE!</v>
      </c>
      <c r="AE136" s="431" t="e">
        <f>IF(AE$75&lt;=CNTR_YearMergerSplit,"",INDEX(B_InitialSituation!M$9:M$153,MATCH($Q136,B_InitialSituation!$Q$9:$Q$153,0))*$X136)</f>
        <v>#VALUE!</v>
      </c>
      <c r="AF136" s="431" t="e">
        <f>IF(AF$75&lt;=CNTR_YearMergerSplit,"",INDEX(B_InitialSituation!N$9:N$153,MATCH($Q136,B_InitialSituation!$Q$9:$Q$153,0))*$X136)</f>
        <v>#VALUE!</v>
      </c>
      <c r="AG136" s="423"/>
      <c r="AH136" s="430">
        <f>INDEX(CHOOSE($V136,C_MergerSplitTransfer!$H$9:$H$68,C_MergerSplitTransfer!$K$9:$K$68),MATCH(R136,C_MergerSplitTransfer!$T$9:$T$68,0))</f>
      </c>
      <c r="AI136" s="431" t="e">
        <f>IF(AI$75&lt;=CNTR_YearMergerSplit,"",INDEX(B_InitialSituation!G$9:G$153,MATCH($R136,B_InitialSituation!$Q$9:$Q$153,0))*$AH136)</f>
        <v>#VALUE!</v>
      </c>
      <c r="AJ136" s="431" t="e">
        <f>IF(AJ$75&lt;=CNTR_YearMergerSplit,"",INDEX(B_InitialSituation!H$9:H$153,MATCH($R136,B_InitialSituation!$Q$9:$Q$153,0))*$AH136)</f>
        <v>#VALUE!</v>
      </c>
      <c r="AK136" s="431" t="e">
        <f>IF(AK$75&lt;=CNTR_YearMergerSplit,"",INDEX(B_InitialSituation!I$9:I$153,MATCH($R136,B_InitialSituation!$Q$9:$Q$153,0))*$AH136)</f>
        <v>#VALUE!</v>
      </c>
      <c r="AL136" s="431" t="e">
        <f>IF(AL$75&lt;=CNTR_YearMergerSplit,"",INDEX(B_InitialSituation!J$9:J$153,MATCH($R136,B_InitialSituation!$Q$9:$Q$153,0))*$AH136)</f>
        <v>#VALUE!</v>
      </c>
      <c r="AM136" s="431" t="e">
        <f>IF(AM$75&lt;=CNTR_YearMergerSplit,"",INDEX(B_InitialSituation!K$9:K$153,MATCH($R136,B_InitialSituation!$Q$9:$Q$153,0))*$AH136)</f>
        <v>#VALUE!</v>
      </c>
      <c r="AN136" s="431" t="e">
        <f>IF(AN$75&lt;=CNTR_YearMergerSplit,"",INDEX(B_InitialSituation!L$9:L$153,MATCH($R136,B_InitialSituation!$Q$9:$Q$153,0))*$AH136)</f>
        <v>#VALUE!</v>
      </c>
      <c r="AO136" s="431" t="e">
        <f>IF(AO$75&lt;=CNTR_YearMergerSplit,"",INDEX(B_InitialSituation!M$9:M$153,MATCH($R136,B_InitialSituation!$Q$9:$Q$153,0))*$AH136)</f>
        <v>#VALUE!</v>
      </c>
      <c r="AP136" s="431" t="e">
        <f>IF(AP$75&lt;=CNTR_YearMergerSplit,"",INDEX(B_InitialSituation!N$9:N$153,MATCH($R136,B_InitialSituation!$Q$9:$Q$153,0))*$AH136)</f>
        <v>#VALUE!</v>
      </c>
      <c r="AQ136" s="423"/>
    </row>
    <row r="137" spans="1:43" s="522" customFormat="1" ht="25.5" customHeight="1">
      <c r="A137" s="4"/>
      <c r="B137" s="5"/>
      <c r="C137" s="555">
        <v>15</v>
      </c>
      <c r="D137" s="1045" t="str">
        <f t="shared" si="47"/>
        <v>Sous-installation avec émissions de procédé, CL</v>
      </c>
      <c r="E137" s="1046"/>
      <c r="F137" s="1047"/>
      <c r="G137" s="557">
        <f t="shared" si="44"/>
      </c>
      <c r="H137" s="557">
        <f t="shared" si="35"/>
      </c>
      <c r="I137" s="557">
        <f t="shared" si="36"/>
      </c>
      <c r="J137" s="557">
        <f t="shared" si="37"/>
      </c>
      <c r="K137" s="557">
        <f t="shared" si="38"/>
      </c>
      <c r="L137" s="557">
        <f t="shared" si="39"/>
      </c>
      <c r="M137" s="557">
        <f t="shared" si="40"/>
      </c>
      <c r="N137" s="557">
        <f t="shared" si="41"/>
      </c>
      <c r="O137" s="323"/>
      <c r="P137" s="9"/>
      <c r="Q137" s="451" t="str">
        <f t="shared" si="42"/>
        <v>FInitial_1_Sous-installation avec émissions de procédé, CL</v>
      </c>
      <c r="R137" s="451" t="str">
        <f t="shared" si="43"/>
        <v>FInitial_2_Sous-installation avec émissions de procédé, CL</v>
      </c>
      <c r="S137" s="423"/>
      <c r="T137" s="423"/>
      <c r="U137" s="423"/>
      <c r="V137" s="453">
        <f t="shared" si="45"/>
        <v>2</v>
      </c>
      <c r="W137" s="423"/>
      <c r="X137" s="430">
        <f>INDEX(CHOOSE($V137,C_MergerSplitTransfer!$H$9:$H$68,C_MergerSplitTransfer!$K$9:$K$68),MATCH(Q137,C_MergerSplitTransfer!$T$9:$T$68,0))</f>
      </c>
      <c r="Y137" s="431" t="e">
        <f>IF(Y$75&lt;=CNTR_YearMergerSplit,"",INDEX(B_InitialSituation!G$9:G$153,MATCH($Q137,B_InitialSituation!$Q$9:$Q$153,0))*$X137)</f>
        <v>#VALUE!</v>
      </c>
      <c r="Z137" s="431" t="e">
        <f>IF(Z$75&lt;=CNTR_YearMergerSplit,"",INDEX(B_InitialSituation!H$9:H$153,MATCH($Q137,B_InitialSituation!$Q$9:$Q$153,0))*$X137)</f>
        <v>#VALUE!</v>
      </c>
      <c r="AA137" s="431" t="e">
        <f>IF(AA$75&lt;=CNTR_YearMergerSplit,"",INDEX(B_InitialSituation!I$9:I$153,MATCH($Q137,B_InitialSituation!$Q$9:$Q$153,0))*$X137)</f>
        <v>#VALUE!</v>
      </c>
      <c r="AB137" s="431" t="e">
        <f>IF(AB$75&lt;=CNTR_YearMergerSplit,"",INDEX(B_InitialSituation!J$9:J$153,MATCH($Q137,B_InitialSituation!$Q$9:$Q$153,0))*$X137)</f>
        <v>#VALUE!</v>
      </c>
      <c r="AC137" s="431" t="e">
        <f>IF(AC$75&lt;=CNTR_YearMergerSplit,"",INDEX(B_InitialSituation!K$9:K$153,MATCH($Q137,B_InitialSituation!$Q$9:$Q$153,0))*$X137)</f>
        <v>#VALUE!</v>
      </c>
      <c r="AD137" s="431" t="e">
        <f>IF(AD$75&lt;=CNTR_YearMergerSplit,"",INDEX(B_InitialSituation!L$9:L$153,MATCH($Q137,B_InitialSituation!$Q$9:$Q$153,0))*$X137)</f>
        <v>#VALUE!</v>
      </c>
      <c r="AE137" s="431" t="e">
        <f>IF(AE$75&lt;=CNTR_YearMergerSplit,"",INDEX(B_InitialSituation!M$9:M$153,MATCH($Q137,B_InitialSituation!$Q$9:$Q$153,0))*$X137)</f>
        <v>#VALUE!</v>
      </c>
      <c r="AF137" s="431" t="e">
        <f>IF(AF$75&lt;=CNTR_YearMergerSplit,"",INDEX(B_InitialSituation!N$9:N$153,MATCH($Q137,B_InitialSituation!$Q$9:$Q$153,0))*$X137)</f>
        <v>#VALUE!</v>
      </c>
      <c r="AG137" s="423"/>
      <c r="AH137" s="430">
        <f>INDEX(CHOOSE($V137,C_MergerSplitTransfer!$H$9:$H$68,C_MergerSplitTransfer!$K$9:$K$68),MATCH(R137,C_MergerSplitTransfer!$T$9:$T$68,0))</f>
      </c>
      <c r="AI137" s="431" t="e">
        <f>IF(AI$75&lt;=CNTR_YearMergerSplit,"",INDEX(B_InitialSituation!G$9:G$153,MATCH($R137,B_InitialSituation!$Q$9:$Q$153,0))*$AH137)</f>
        <v>#VALUE!</v>
      </c>
      <c r="AJ137" s="431" t="e">
        <f>IF(AJ$75&lt;=CNTR_YearMergerSplit,"",INDEX(B_InitialSituation!H$9:H$153,MATCH($R137,B_InitialSituation!$Q$9:$Q$153,0))*$AH137)</f>
        <v>#VALUE!</v>
      </c>
      <c r="AK137" s="431" t="e">
        <f>IF(AK$75&lt;=CNTR_YearMergerSplit,"",INDEX(B_InitialSituation!I$9:I$153,MATCH($R137,B_InitialSituation!$Q$9:$Q$153,0))*$AH137)</f>
        <v>#VALUE!</v>
      </c>
      <c r="AL137" s="431" t="e">
        <f>IF(AL$75&lt;=CNTR_YearMergerSplit,"",INDEX(B_InitialSituation!J$9:J$153,MATCH($R137,B_InitialSituation!$Q$9:$Q$153,0))*$AH137)</f>
        <v>#VALUE!</v>
      </c>
      <c r="AM137" s="431" t="e">
        <f>IF(AM$75&lt;=CNTR_YearMergerSplit,"",INDEX(B_InitialSituation!K$9:K$153,MATCH($R137,B_InitialSituation!$Q$9:$Q$153,0))*$AH137)</f>
        <v>#VALUE!</v>
      </c>
      <c r="AN137" s="431" t="e">
        <f>IF(AN$75&lt;=CNTR_YearMergerSplit,"",INDEX(B_InitialSituation!L$9:L$153,MATCH($R137,B_InitialSituation!$Q$9:$Q$153,0))*$AH137)</f>
        <v>#VALUE!</v>
      </c>
      <c r="AO137" s="431" t="e">
        <f>IF(AO$75&lt;=CNTR_YearMergerSplit,"",INDEX(B_InitialSituation!M$9:M$153,MATCH($R137,B_InitialSituation!$Q$9:$Q$153,0))*$AH137)</f>
        <v>#VALUE!</v>
      </c>
      <c r="AP137" s="431" t="e">
        <f>IF(AP$75&lt;=CNTR_YearMergerSplit,"",INDEX(B_InitialSituation!N$9:N$153,MATCH($R137,B_InitialSituation!$Q$9:$Q$153,0))*$AH137)</f>
        <v>#VALUE!</v>
      </c>
      <c r="AQ137" s="423"/>
    </row>
    <row r="138" spans="1:43" s="522" customFormat="1" ht="25.5" customHeight="1">
      <c r="A138" s="4"/>
      <c r="B138" s="5"/>
      <c r="C138" s="555">
        <v>16</v>
      </c>
      <c r="D138" s="1048" t="str">
        <f t="shared" si="47"/>
        <v>Sous-installation avec émissions de procédé, non-CL</v>
      </c>
      <c r="E138" s="1049"/>
      <c r="F138" s="1050"/>
      <c r="G138" s="560">
        <f t="shared" si="44"/>
      </c>
      <c r="H138" s="560">
        <f t="shared" si="35"/>
      </c>
      <c r="I138" s="560">
        <f t="shared" si="36"/>
      </c>
      <c r="J138" s="560">
        <f t="shared" si="37"/>
      </c>
      <c r="K138" s="560">
        <f t="shared" si="38"/>
      </c>
      <c r="L138" s="560">
        <f t="shared" si="39"/>
      </c>
      <c r="M138" s="560">
        <f t="shared" si="40"/>
      </c>
      <c r="N138" s="560">
        <f t="shared" si="41"/>
      </c>
      <c r="O138" s="323"/>
      <c r="P138" s="9"/>
      <c r="Q138" s="451" t="str">
        <f t="shared" si="42"/>
        <v>FInitial_1_Sous-installation avec émissions de procédé, non-CL</v>
      </c>
      <c r="R138" s="451" t="str">
        <f t="shared" si="43"/>
        <v>FInitial_2_Sous-installation avec émissions de procédé, non-CL</v>
      </c>
      <c r="S138" s="423"/>
      <c r="T138" s="423"/>
      <c r="U138" s="423"/>
      <c r="V138" s="453">
        <f t="shared" si="45"/>
        <v>2</v>
      </c>
      <c r="W138" s="423"/>
      <c r="X138" s="434">
        <f>INDEX(CHOOSE($V138,C_MergerSplitTransfer!$H$9:$H$68,C_MergerSplitTransfer!$K$9:$K$68),MATCH(Q138,C_MergerSplitTransfer!$T$9:$T$68,0))</f>
      </c>
      <c r="Y138" s="435" t="e">
        <f>IF(Y$75&lt;=CNTR_YearMergerSplit,"",INDEX(B_InitialSituation!G$9:G$153,MATCH($Q138,B_InitialSituation!$Q$9:$Q$153,0))*$X138)</f>
        <v>#VALUE!</v>
      </c>
      <c r="Z138" s="435" t="e">
        <f>IF(Z$75&lt;=CNTR_YearMergerSplit,"",INDEX(B_InitialSituation!H$9:H$153,MATCH($Q138,B_InitialSituation!$Q$9:$Q$153,0))*$X138)</f>
        <v>#VALUE!</v>
      </c>
      <c r="AA138" s="435" t="e">
        <f>IF(AA$75&lt;=CNTR_YearMergerSplit,"",INDEX(B_InitialSituation!I$9:I$153,MATCH($Q138,B_InitialSituation!$Q$9:$Q$153,0))*$X138)</f>
        <v>#VALUE!</v>
      </c>
      <c r="AB138" s="435" t="e">
        <f>IF(AB$75&lt;=CNTR_YearMergerSplit,"",INDEX(B_InitialSituation!J$9:J$153,MATCH($Q138,B_InitialSituation!$Q$9:$Q$153,0))*$X138)</f>
        <v>#VALUE!</v>
      </c>
      <c r="AC138" s="435" t="e">
        <f>IF(AC$75&lt;=CNTR_YearMergerSplit,"",INDEX(B_InitialSituation!K$9:K$153,MATCH($Q138,B_InitialSituation!$Q$9:$Q$153,0))*$X138)</f>
        <v>#VALUE!</v>
      </c>
      <c r="AD138" s="435" t="e">
        <f>IF(AD$75&lt;=CNTR_YearMergerSplit,"",INDEX(B_InitialSituation!L$9:L$153,MATCH($Q138,B_InitialSituation!$Q$9:$Q$153,0))*$X138)</f>
        <v>#VALUE!</v>
      </c>
      <c r="AE138" s="435" t="e">
        <f>IF(AE$75&lt;=CNTR_YearMergerSplit,"",INDEX(B_InitialSituation!M$9:M$153,MATCH($Q138,B_InitialSituation!$Q$9:$Q$153,0))*$X138)</f>
        <v>#VALUE!</v>
      </c>
      <c r="AF138" s="435" t="e">
        <f>IF(AF$75&lt;=CNTR_YearMergerSplit,"",INDEX(B_InitialSituation!N$9:N$153,MATCH($Q138,B_InitialSituation!$Q$9:$Q$153,0))*$X138)</f>
        <v>#VALUE!</v>
      </c>
      <c r="AG138" s="423"/>
      <c r="AH138" s="434">
        <f>INDEX(CHOOSE($V138,C_MergerSplitTransfer!$H$9:$H$68,C_MergerSplitTransfer!$K$9:$K$68),MATCH(R138,C_MergerSplitTransfer!$T$9:$T$68,0))</f>
      </c>
      <c r="AI138" s="435" t="e">
        <f>IF(AI$75&lt;=CNTR_YearMergerSplit,"",INDEX(B_InitialSituation!G$9:G$153,MATCH($R138,B_InitialSituation!$Q$9:$Q$153,0))*$AH138)</f>
        <v>#VALUE!</v>
      </c>
      <c r="AJ138" s="435" t="e">
        <f>IF(AJ$75&lt;=CNTR_YearMergerSplit,"",INDEX(B_InitialSituation!H$9:H$153,MATCH($R138,B_InitialSituation!$Q$9:$Q$153,0))*$AH138)</f>
        <v>#VALUE!</v>
      </c>
      <c r="AK138" s="435" t="e">
        <f>IF(AK$75&lt;=CNTR_YearMergerSplit,"",INDEX(B_InitialSituation!I$9:I$153,MATCH($R138,B_InitialSituation!$Q$9:$Q$153,0))*$AH138)</f>
        <v>#VALUE!</v>
      </c>
      <c r="AL138" s="435" t="e">
        <f>IF(AL$75&lt;=CNTR_YearMergerSplit,"",INDEX(B_InitialSituation!J$9:J$153,MATCH($R138,B_InitialSituation!$Q$9:$Q$153,0))*$AH138)</f>
        <v>#VALUE!</v>
      </c>
      <c r="AM138" s="435" t="e">
        <f>IF(AM$75&lt;=CNTR_YearMergerSplit,"",INDEX(B_InitialSituation!K$9:K$153,MATCH($R138,B_InitialSituation!$Q$9:$Q$153,0))*$AH138)</f>
        <v>#VALUE!</v>
      </c>
      <c r="AN138" s="435" t="e">
        <f>IF(AN$75&lt;=CNTR_YearMergerSplit,"",INDEX(B_InitialSituation!L$9:L$153,MATCH($R138,B_InitialSituation!$Q$9:$Q$153,0))*$AH138)</f>
        <v>#VALUE!</v>
      </c>
      <c r="AO138" s="435" t="e">
        <f>IF(AO$75&lt;=CNTR_YearMergerSplit,"",INDEX(B_InitialSituation!M$9:M$153,MATCH($R138,B_InitialSituation!$Q$9:$Q$153,0))*$AH138)</f>
        <v>#VALUE!</v>
      </c>
      <c r="AP138" s="435" t="e">
        <f>IF(AP$75&lt;=CNTR_YearMergerSplit,"",INDEX(B_InitialSituation!N$9:N$153,MATCH($R138,B_InitialSituation!$Q$9:$Q$153,0))*$AH138)</f>
        <v>#VALUE!</v>
      </c>
      <c r="AQ138" s="423"/>
    </row>
    <row r="139" spans="1:43" s="522" customFormat="1" ht="12.75" customHeight="1" thickBot="1">
      <c r="A139" s="4"/>
      <c r="B139" s="5"/>
      <c r="C139" s="561">
        <v>17</v>
      </c>
      <c r="D139" s="1051" t="str">
        <f>EUconst_PrivateHouseholds</f>
        <v>Ménages privés</v>
      </c>
      <c r="E139" s="1052"/>
      <c r="F139" s="1053"/>
      <c r="G139" s="562">
        <f t="shared" si="44"/>
      </c>
      <c r="H139" s="562">
        <f t="shared" si="35"/>
      </c>
      <c r="I139" s="562">
        <f t="shared" si="36"/>
      </c>
      <c r="J139" s="562">
        <f t="shared" si="37"/>
      </c>
      <c r="K139" s="562">
        <f t="shared" si="38"/>
      </c>
      <c r="L139" s="562">
        <f t="shared" si="39"/>
      </c>
      <c r="M139" s="562">
        <f t="shared" si="40"/>
      </c>
      <c r="N139" s="562">
        <f t="shared" si="41"/>
      </c>
      <c r="O139" s="323"/>
      <c r="P139" s="9"/>
      <c r="Q139" s="451" t="str">
        <f t="shared" si="42"/>
        <v>FInitial_1_Ménages privés</v>
      </c>
      <c r="R139" s="451" t="str">
        <f t="shared" si="43"/>
        <v>FInitial_2_Ménages privés</v>
      </c>
      <c r="S139" s="423"/>
      <c r="T139" s="423"/>
      <c r="U139" s="423"/>
      <c r="V139" s="454">
        <f t="shared" si="45"/>
        <v>2</v>
      </c>
      <c r="W139" s="423"/>
      <c r="X139" s="436">
        <f>INDEX(CHOOSE($V139,C_MergerSplitTransfer!$H$9:$H$68,C_MergerSplitTransfer!$K$9:$K$68),MATCH(Q139,C_MergerSplitTransfer!$T$9:$T$68,0))</f>
      </c>
      <c r="Y139" s="437" t="e">
        <f>IF(Y$75&lt;=CNTR_YearMergerSplit,"",INDEX(B_InitialSituation!G$9:G$153,MATCH($Q139,B_InitialSituation!$Q$9:$Q$153,0))*$X139)</f>
        <v>#VALUE!</v>
      </c>
      <c r="Z139" s="437" t="e">
        <f>IF(Z$75&lt;=CNTR_YearMergerSplit,"",INDEX(B_InitialSituation!H$9:H$153,MATCH($Q139,B_InitialSituation!$Q$9:$Q$153,0))*$X139)</f>
        <v>#VALUE!</v>
      </c>
      <c r="AA139" s="437" t="e">
        <f>IF(AA$75&lt;=CNTR_YearMergerSplit,"",INDEX(B_InitialSituation!I$9:I$153,MATCH($Q139,B_InitialSituation!$Q$9:$Q$153,0))*$X139)</f>
        <v>#VALUE!</v>
      </c>
      <c r="AB139" s="437" t="e">
        <f>IF(AB$75&lt;=CNTR_YearMergerSplit,"",INDEX(B_InitialSituation!J$9:J$153,MATCH($Q139,B_InitialSituation!$Q$9:$Q$153,0))*$X139)</f>
        <v>#VALUE!</v>
      </c>
      <c r="AC139" s="437" t="e">
        <f>IF(AC$75&lt;=CNTR_YearMergerSplit,"",INDEX(B_InitialSituation!K$9:K$153,MATCH($Q139,B_InitialSituation!$Q$9:$Q$153,0))*$X139)</f>
        <v>#VALUE!</v>
      </c>
      <c r="AD139" s="437" t="e">
        <f>IF(AD$75&lt;=CNTR_YearMergerSplit,"",INDEX(B_InitialSituation!L$9:L$153,MATCH($Q139,B_InitialSituation!$Q$9:$Q$153,0))*$X139)</f>
        <v>#VALUE!</v>
      </c>
      <c r="AE139" s="437" t="e">
        <f>IF(AE$75&lt;=CNTR_YearMergerSplit,"",INDEX(B_InitialSituation!M$9:M$153,MATCH($Q139,B_InitialSituation!$Q$9:$Q$153,0))*$X139)</f>
        <v>#VALUE!</v>
      </c>
      <c r="AF139" s="437" t="e">
        <f>IF(AF$75&lt;=CNTR_YearMergerSplit,"",INDEX(B_InitialSituation!N$9:N$153,MATCH($Q139,B_InitialSituation!$Q$9:$Q$153,0))*$X139)</f>
        <v>#VALUE!</v>
      </c>
      <c r="AG139" s="423"/>
      <c r="AH139" s="436">
        <f>INDEX(CHOOSE($V139,C_MergerSplitTransfer!$H$9:$H$68,C_MergerSplitTransfer!$K$9:$K$68),MATCH(R139,C_MergerSplitTransfer!$T$9:$T$68,0))</f>
      </c>
      <c r="AI139" s="437" t="e">
        <f>IF(AI$75&lt;=CNTR_YearMergerSplit,"",INDEX(B_InitialSituation!G$9:G$153,MATCH($R139,B_InitialSituation!$Q$9:$Q$153,0))*$AH139)</f>
        <v>#VALUE!</v>
      </c>
      <c r="AJ139" s="437" t="e">
        <f>IF(AJ$75&lt;=CNTR_YearMergerSplit,"",INDEX(B_InitialSituation!H$9:H$153,MATCH($R139,B_InitialSituation!$Q$9:$Q$153,0))*$AH139)</f>
        <v>#VALUE!</v>
      </c>
      <c r="AK139" s="437" t="e">
        <f>IF(AK$75&lt;=CNTR_YearMergerSplit,"",INDEX(B_InitialSituation!I$9:I$153,MATCH($R139,B_InitialSituation!$Q$9:$Q$153,0))*$AH139)</f>
        <v>#VALUE!</v>
      </c>
      <c r="AL139" s="437" t="e">
        <f>IF(AL$75&lt;=CNTR_YearMergerSplit,"",INDEX(B_InitialSituation!J$9:J$153,MATCH($R139,B_InitialSituation!$Q$9:$Q$153,0))*$AH139)</f>
        <v>#VALUE!</v>
      </c>
      <c r="AM139" s="437" t="e">
        <f>IF(AM$75&lt;=CNTR_YearMergerSplit,"",INDEX(B_InitialSituation!K$9:K$153,MATCH($R139,B_InitialSituation!$Q$9:$Q$153,0))*$AH139)</f>
        <v>#VALUE!</v>
      </c>
      <c r="AN139" s="437" t="e">
        <f>IF(AN$75&lt;=CNTR_YearMergerSplit,"",INDEX(B_InitialSituation!L$9:L$153,MATCH($R139,B_InitialSituation!$Q$9:$Q$153,0))*$AH139)</f>
        <v>#VALUE!</v>
      </c>
      <c r="AO139" s="437" t="e">
        <f>IF(AO$75&lt;=CNTR_YearMergerSplit,"",INDEX(B_InitialSituation!M$9:M$153,MATCH($R139,B_InitialSituation!$Q$9:$Q$153,0))*$AH139)</f>
        <v>#VALUE!</v>
      </c>
      <c r="AP139" s="437" t="e">
        <f>IF(AP$75&lt;=CNTR_YearMergerSplit,"",INDEX(B_InitialSituation!N$9:N$153,MATCH($R139,B_InitialSituation!$Q$9:$Q$153,0))*$AH139)</f>
        <v>#VALUE!</v>
      </c>
      <c r="AQ139" s="423"/>
    </row>
    <row r="140" spans="1:43" s="522" customFormat="1" ht="12.75" customHeight="1">
      <c r="A140" s="4"/>
      <c r="B140" s="5"/>
      <c r="C140" s="563"/>
      <c r="D140" s="1054" t="str">
        <f>EUconst_TotFreeAlloc</f>
        <v>Allocation totale finale à titre gratuit</v>
      </c>
      <c r="E140" s="1055"/>
      <c r="F140" s="1056"/>
      <c r="G140" s="564">
        <f aca="true" t="shared" si="48" ref="G140:N140">IF(COUNT(G122:G139)&gt;0,SUM(G122:G139),"")</f>
      </c>
      <c r="H140" s="564">
        <f t="shared" si="48"/>
      </c>
      <c r="I140" s="564">
        <f t="shared" si="48"/>
      </c>
      <c r="J140" s="564">
        <f t="shared" si="48"/>
      </c>
      <c r="K140" s="564">
        <f t="shared" si="48"/>
      </c>
      <c r="L140" s="564">
        <f t="shared" si="48"/>
      </c>
      <c r="M140" s="564">
        <f t="shared" si="48"/>
      </c>
      <c r="N140" s="564">
        <f t="shared" si="48"/>
      </c>
      <c r="O140" s="323"/>
      <c r="P140" s="9"/>
      <c r="Q140" s="441"/>
      <c r="R140" s="423"/>
      <c r="S140" s="423"/>
      <c r="T140" s="423"/>
      <c r="U140" s="423"/>
      <c r="V140" s="423"/>
      <c r="W140" s="423"/>
      <c r="X140" s="423"/>
      <c r="Y140" s="423"/>
      <c r="Z140" s="423"/>
      <c r="AA140" s="423"/>
      <c r="AB140" s="423"/>
      <c r="AC140" s="423"/>
      <c r="AD140" s="423"/>
      <c r="AE140" s="423"/>
      <c r="AF140" s="423"/>
      <c r="AG140" s="423"/>
      <c r="AH140" s="423"/>
      <c r="AI140" s="423"/>
      <c r="AJ140" s="423"/>
      <c r="AK140" s="423"/>
      <c r="AL140" s="423"/>
      <c r="AM140" s="423"/>
      <c r="AN140" s="423"/>
      <c r="AO140" s="423"/>
      <c r="AP140" s="423"/>
      <c r="AQ140" s="423"/>
    </row>
    <row r="141" spans="1:43" s="522" customFormat="1" ht="12.75" customHeight="1">
      <c r="A141" s="4"/>
      <c r="B141" s="5"/>
      <c r="C141" s="565"/>
      <c r="D141" s="550"/>
      <c r="E141" s="550"/>
      <c r="F141" s="550"/>
      <c r="G141" s="550"/>
      <c r="H141" s="550"/>
      <c r="I141" s="550"/>
      <c r="J141" s="550"/>
      <c r="K141" s="550"/>
      <c r="L141" s="550"/>
      <c r="M141" s="550"/>
      <c r="N141" s="550"/>
      <c r="O141" s="315"/>
      <c r="P141" s="9"/>
      <c r="Q141" s="441"/>
      <c r="R141" s="423"/>
      <c r="S141" s="423"/>
      <c r="T141" s="423"/>
      <c r="U141" s="423"/>
      <c r="V141" s="441"/>
      <c r="W141" s="423"/>
      <c r="X141" s="423"/>
      <c r="Y141" s="423"/>
      <c r="Z141" s="423"/>
      <c r="AA141" s="423"/>
      <c r="AB141" s="423"/>
      <c r="AC141" s="423"/>
      <c r="AD141" s="423"/>
      <c r="AE141" s="423"/>
      <c r="AF141" s="423"/>
      <c r="AG141" s="423"/>
      <c r="AH141" s="423"/>
      <c r="AI141" s="423"/>
      <c r="AJ141" s="423"/>
      <c r="AK141" s="423"/>
      <c r="AL141" s="423"/>
      <c r="AM141" s="423"/>
      <c r="AN141" s="423"/>
      <c r="AO141" s="423"/>
      <c r="AP141" s="423"/>
      <c r="AQ141" s="423"/>
    </row>
    <row r="142" spans="1:43" s="522" customFormat="1" ht="15" customHeight="1">
      <c r="A142" s="4"/>
      <c r="B142" s="18"/>
      <c r="C142" s="549"/>
      <c r="D142" s="1057" t="str">
        <f>Translations!$B$1571</f>
        <v>Nouvelle capacité installée initiale et nouveau niveau d’activité annuel:</v>
      </c>
      <c r="E142" s="1058"/>
      <c r="F142" s="1058"/>
      <c r="G142" s="1058"/>
      <c r="H142" s="1058"/>
      <c r="I142" s="1058"/>
      <c r="J142" s="1058"/>
      <c r="K142" s="1058"/>
      <c r="L142" s="1058"/>
      <c r="M142" s="1058"/>
      <c r="N142" s="1058"/>
      <c r="O142" s="18"/>
      <c r="P142" s="18"/>
      <c r="Q142" s="440"/>
      <c r="R142" s="423"/>
      <c r="S142" s="423"/>
      <c r="T142" s="423"/>
      <c r="U142" s="423"/>
      <c r="V142" s="423"/>
      <c r="W142" s="423"/>
      <c r="X142" s="423"/>
      <c r="Y142" s="423"/>
      <c r="Z142" s="423"/>
      <c r="AA142" s="423"/>
      <c r="AB142" s="423"/>
      <c r="AC142" s="423"/>
      <c r="AD142" s="423"/>
      <c r="AE142" s="423"/>
      <c r="AF142" s="423"/>
      <c r="AG142" s="423"/>
      <c r="AH142" s="423"/>
      <c r="AI142" s="423"/>
      <c r="AJ142" s="423"/>
      <c r="AK142" s="423"/>
      <c r="AL142" s="423"/>
      <c r="AM142" s="423"/>
      <c r="AN142" s="423"/>
      <c r="AO142" s="423"/>
      <c r="AP142" s="423"/>
      <c r="AQ142" s="423"/>
    </row>
    <row r="143" spans="1:43" s="522" customFormat="1" ht="4.5" customHeight="1">
      <c r="A143" s="4"/>
      <c r="B143" s="5"/>
      <c r="C143" s="550"/>
      <c r="D143" s="550"/>
      <c r="E143" s="550"/>
      <c r="F143" s="550"/>
      <c r="G143" s="550"/>
      <c r="H143" s="550"/>
      <c r="I143" s="550"/>
      <c r="J143" s="550"/>
      <c r="K143" s="550"/>
      <c r="L143" s="550"/>
      <c r="M143" s="550"/>
      <c r="N143" s="550"/>
      <c r="O143" s="9"/>
      <c r="P143" s="9"/>
      <c r="Q143" s="441"/>
      <c r="R143" s="423"/>
      <c r="S143" s="423"/>
      <c r="T143" s="423"/>
      <c r="U143" s="423"/>
      <c r="V143" s="423"/>
      <c r="W143" s="423"/>
      <c r="X143" s="423"/>
      <c r="Y143" s="423"/>
      <c r="Z143" s="423"/>
      <c r="AA143" s="423"/>
      <c r="AB143" s="423"/>
      <c r="AC143" s="423"/>
      <c r="AD143" s="423"/>
      <c r="AE143" s="423"/>
      <c r="AF143" s="423"/>
      <c r="AG143" s="423"/>
      <c r="AH143" s="423"/>
      <c r="AI143" s="423"/>
      <c r="AJ143" s="423"/>
      <c r="AK143" s="423"/>
      <c r="AL143" s="423"/>
      <c r="AM143" s="423"/>
      <c r="AN143" s="423"/>
      <c r="AO143" s="423"/>
      <c r="AP143" s="423"/>
      <c r="AQ143" s="423"/>
    </row>
    <row r="144" spans="1:43" s="526" customFormat="1" ht="38.25" customHeight="1" thickBot="1">
      <c r="A144" s="396"/>
      <c r="B144" s="372"/>
      <c r="C144" s="566"/>
      <c r="D144" s="1059" t="str">
        <f>Translations!$B$440</f>
        <v>Sous-installation</v>
      </c>
      <c r="E144" s="1060"/>
      <c r="F144" s="1060"/>
      <c r="G144" s="1061"/>
      <c r="H144" s="567" t="str">
        <f>EUconst_Unit</f>
        <v>Unité</v>
      </c>
      <c r="I144" s="567" t="str">
        <f>Translations!$B$1030</f>
        <v>Capacité installée initiale</v>
      </c>
      <c r="J144" s="568" t="str">
        <f>Translations!$B$1187</f>
        <v>Niveau d'activité annuel initial </v>
      </c>
      <c r="K144" s="550"/>
      <c r="L144" s="569"/>
      <c r="M144" s="569"/>
      <c r="N144" s="569"/>
      <c r="O144" s="399"/>
      <c r="P144" s="400"/>
      <c r="Q144" s="455"/>
      <c r="R144" s="455"/>
      <c r="S144" s="455"/>
      <c r="T144" s="455"/>
      <c r="U144" s="455"/>
      <c r="V144" s="449" t="s">
        <v>548</v>
      </c>
      <c r="W144" s="455"/>
      <c r="X144" s="438" t="str">
        <f>Translations!$B$1030</f>
        <v>Capacité installée initiale</v>
      </c>
      <c r="Y144" s="439" t="str">
        <f>Translations!$B$1187</f>
        <v>Niveau d'activité annuel initial </v>
      </c>
      <c r="Z144" s="423"/>
      <c r="AA144" s="119" t="s">
        <v>539</v>
      </c>
      <c r="AB144" s="119" t="s">
        <v>536</v>
      </c>
      <c r="AC144" s="10" t="s">
        <v>540</v>
      </c>
      <c r="AD144" s="441" t="s">
        <v>571</v>
      </c>
      <c r="AE144" s="441" t="str">
        <f>EUconst_Unit</f>
        <v>Unité</v>
      </c>
      <c r="AF144" s="441" t="str">
        <f>EUconst_Unit</f>
        <v>Unité</v>
      </c>
      <c r="AG144" s="456"/>
      <c r="AH144" s="459" t="str">
        <f>Translations!$B$1030</f>
        <v>Capacité installée initiale</v>
      </c>
      <c r="AI144" s="439" t="str">
        <f>Translations!$B$1187</f>
        <v>Niveau d'activité annuel initial </v>
      </c>
      <c r="AJ144" s="456"/>
      <c r="AK144" s="456"/>
      <c r="AL144" s="456"/>
      <c r="AM144" s="456"/>
      <c r="AN144" s="456"/>
      <c r="AO144" s="456"/>
      <c r="AP144" s="456"/>
      <c r="AQ144" s="456"/>
    </row>
    <row r="145" spans="1:43" s="522" customFormat="1" ht="12.75" customHeight="1">
      <c r="A145" s="4"/>
      <c r="B145" s="5"/>
      <c r="C145" s="555">
        <v>1</v>
      </c>
      <c r="D145" s="1062">
        <f aca="true" t="shared" si="49" ref="D145:D154">IF(D123="","",D123)</f>
      </c>
      <c r="E145" s="1063"/>
      <c r="F145" s="1063"/>
      <c r="G145" s="1064"/>
      <c r="H145" s="570">
        <f aca="true" t="shared" si="50" ref="H145:H154">IF(D145&lt;&gt;"",INDEX(EUconst_BMlistUnits,MATCH($D145,EUconst_BMlistNames,0))&amp;" / "&amp;EUconst_Year,"")</f>
      </c>
      <c r="I145" s="571">
        <f>IF(X145=0,"",ROUND(X145,0))</f>
      </c>
      <c r="J145" s="571">
        <f aca="true" t="shared" si="51" ref="J145:J160">IF(Y145=0,"",ROUND(Y145,0))</f>
      </c>
      <c r="K145" s="550"/>
      <c r="L145" s="569"/>
      <c r="M145" s="569"/>
      <c r="N145" s="569"/>
      <c r="O145" s="323"/>
      <c r="P145" s="481"/>
      <c r="Q145" s="451" t="str">
        <f aca="true" t="shared" si="52" ref="Q145:Q160">EUconst_CNTR_CAPINI&amp;$D145</f>
        <v>CAPINI_</v>
      </c>
      <c r="R145" s="455"/>
      <c r="S145" s="441"/>
      <c r="T145" s="441"/>
      <c r="U145" s="441"/>
      <c r="V145" s="452">
        <f>V139</f>
        <v>2</v>
      </c>
      <c r="W145" s="441"/>
      <c r="X145" s="460">
        <f>SUMIF(C_MergerSplitTransfer!$U$9:$U$68,$Q145,CHOOSE($V145,C_MergerSplitTransfer!I$9:I$68,C_MergerSplitTransfer!L$9:L$68))</f>
        <v>0</v>
      </c>
      <c r="Y145" s="460">
        <f>SUMIF(C_MergerSplitTransfer!$U$9:$U$68,$Q145,CHOOSE($V145,C_MergerSplitTransfer!J$9:J$68,C_MergerSplitTransfer!M$9:M$68))</f>
        <v>0</v>
      </c>
      <c r="Z145" s="423"/>
      <c r="AA145" s="451">
        <f aca="true" t="shared" si="53" ref="AA145:AA154">IF(D145="","",INDEX(EUconst_BMlistCLstatus,MATCH(D145,EUconst_BMlistNames,0)))</f>
      </c>
      <c r="AB145" s="451">
        <f aca="true" t="shared" si="54" ref="AB145:AB154">IF(D145="","",INDEX(EUconst_BMlistNumberOfBM,MATCH(D145,EUconst_BMlistNames,0)))</f>
      </c>
      <c r="AC145" s="451">
        <f aca="true" t="shared" si="55" ref="AC145:AC154">IF(D145="","",INDEX(EUconst_BMlistBMvalues,MATCH(D145,EUconst_BMlistNames,0)))</f>
      </c>
      <c r="AD145" s="451">
        <f aca="true" t="shared" si="56" ref="AD145:AD154">IF(D145="","",EUconst_EUA&amp;" / "&amp;AE145)</f>
      </c>
      <c r="AE145" s="451">
        <f aca="true" t="shared" si="57" ref="AE145:AE154">IF(D145="","",INDEX(EUconst_BMlistUnits,MATCH(D145,EUconst_BMlistNames,0)))</f>
      </c>
      <c r="AF145" s="451">
        <f aca="true" t="shared" si="58" ref="AF145:AF154">IF(D145="","",INDEX(EUconst_BMlistUnits,MATCH(D145,EUconst_BMlistNames,0))&amp;" / "&amp;EUconst_Year)</f>
      </c>
      <c r="AG145" s="423"/>
      <c r="AH145" s="423"/>
      <c r="AI145" s="423"/>
      <c r="AJ145" s="423"/>
      <c r="AK145" s="423"/>
      <c r="AL145" s="423"/>
      <c r="AM145" s="423"/>
      <c r="AN145" s="423"/>
      <c r="AO145" s="423"/>
      <c r="AP145" s="423"/>
      <c r="AQ145" s="423"/>
    </row>
    <row r="146" spans="1:43" s="522" customFormat="1" ht="12.75" customHeight="1">
      <c r="A146" s="4"/>
      <c r="B146" s="5"/>
      <c r="C146" s="555">
        <v>2</v>
      </c>
      <c r="D146" s="1036">
        <f t="shared" si="49"/>
      </c>
      <c r="E146" s="1037"/>
      <c r="F146" s="1037"/>
      <c r="G146" s="1038"/>
      <c r="H146" s="572">
        <f t="shared" si="50"/>
      </c>
      <c r="I146" s="573">
        <f aca="true" t="shared" si="59" ref="I146:I160">IF(X146=0,"",ROUND(X146,0))</f>
      </c>
      <c r="J146" s="573">
        <f t="shared" si="51"/>
      </c>
      <c r="K146" s="550"/>
      <c r="L146" s="569"/>
      <c r="M146" s="569"/>
      <c r="N146" s="569"/>
      <c r="O146" s="323"/>
      <c r="P146" s="321"/>
      <c r="Q146" s="451" t="str">
        <f t="shared" si="52"/>
        <v>CAPINI_</v>
      </c>
      <c r="R146" s="455"/>
      <c r="S146" s="441"/>
      <c r="T146" s="441"/>
      <c r="U146" s="441"/>
      <c r="V146" s="453">
        <f aca="true" t="shared" si="60" ref="V146:V160">V145</f>
        <v>2</v>
      </c>
      <c r="W146" s="441"/>
      <c r="X146" s="460">
        <f>SUMIF(C_MergerSplitTransfer!$U$9:$U$68,$Q146,CHOOSE($V146,C_MergerSplitTransfer!I$9:I$68,C_MergerSplitTransfer!L$9:L$68))</f>
        <v>0</v>
      </c>
      <c r="Y146" s="460">
        <f>SUMIF(C_MergerSplitTransfer!$U$9:$U$68,$Q146,CHOOSE($V146,C_MergerSplitTransfer!J$9:J$68,C_MergerSplitTransfer!M$9:M$68))</f>
        <v>0</v>
      </c>
      <c r="Z146" s="423"/>
      <c r="AA146" s="451">
        <f t="shared" si="53"/>
      </c>
      <c r="AB146" s="451">
        <f t="shared" si="54"/>
      </c>
      <c r="AC146" s="451">
        <f t="shared" si="55"/>
      </c>
      <c r="AD146" s="451">
        <f t="shared" si="56"/>
      </c>
      <c r="AE146" s="451">
        <f t="shared" si="57"/>
      </c>
      <c r="AF146" s="451">
        <f t="shared" si="58"/>
      </c>
      <c r="AG146" s="423"/>
      <c r="AH146" s="423"/>
      <c r="AI146" s="423"/>
      <c r="AJ146" s="423"/>
      <c r="AK146" s="423"/>
      <c r="AL146" s="423"/>
      <c r="AM146" s="423"/>
      <c r="AN146" s="423"/>
      <c r="AO146" s="423"/>
      <c r="AP146" s="423"/>
      <c r="AQ146" s="423"/>
    </row>
    <row r="147" spans="1:43" s="522" customFormat="1" ht="12.75" customHeight="1">
      <c r="A147" s="4"/>
      <c r="B147" s="5"/>
      <c r="C147" s="555">
        <v>3</v>
      </c>
      <c r="D147" s="1036">
        <f t="shared" si="49"/>
      </c>
      <c r="E147" s="1037"/>
      <c r="F147" s="1037"/>
      <c r="G147" s="1038"/>
      <c r="H147" s="572">
        <f t="shared" si="50"/>
      </c>
      <c r="I147" s="573">
        <f t="shared" si="59"/>
      </c>
      <c r="J147" s="573">
        <f t="shared" si="51"/>
      </c>
      <c r="K147" s="550"/>
      <c r="L147" s="569"/>
      <c r="M147" s="569"/>
      <c r="N147" s="569"/>
      <c r="O147" s="323"/>
      <c r="P147" s="321"/>
      <c r="Q147" s="451" t="str">
        <f t="shared" si="52"/>
        <v>CAPINI_</v>
      </c>
      <c r="R147" s="455"/>
      <c r="S147" s="441"/>
      <c r="T147" s="441"/>
      <c r="U147" s="441"/>
      <c r="V147" s="453">
        <f t="shared" si="60"/>
        <v>2</v>
      </c>
      <c r="W147" s="441"/>
      <c r="X147" s="460">
        <f>SUMIF(C_MergerSplitTransfer!$U$9:$U$68,$Q147,CHOOSE($V147,C_MergerSplitTransfer!I$9:I$68,C_MergerSplitTransfer!L$9:L$68))</f>
        <v>0</v>
      </c>
      <c r="Y147" s="460">
        <f>SUMIF(C_MergerSplitTransfer!$U$9:$U$68,$Q147,CHOOSE($V147,C_MergerSplitTransfer!J$9:J$68,C_MergerSplitTransfer!M$9:M$68))</f>
        <v>0</v>
      </c>
      <c r="Z147" s="423"/>
      <c r="AA147" s="451">
        <f t="shared" si="53"/>
      </c>
      <c r="AB147" s="451">
        <f t="shared" si="54"/>
      </c>
      <c r="AC147" s="451">
        <f t="shared" si="55"/>
      </c>
      <c r="AD147" s="451">
        <f t="shared" si="56"/>
      </c>
      <c r="AE147" s="451">
        <f t="shared" si="57"/>
      </c>
      <c r="AF147" s="451">
        <f t="shared" si="58"/>
      </c>
      <c r="AG147" s="423"/>
      <c r="AH147" s="423"/>
      <c r="AI147" s="423"/>
      <c r="AJ147" s="423"/>
      <c r="AK147" s="423"/>
      <c r="AL147" s="423"/>
      <c r="AM147" s="423"/>
      <c r="AN147" s="423"/>
      <c r="AO147" s="423"/>
      <c r="AP147" s="423"/>
      <c r="AQ147" s="423"/>
    </row>
    <row r="148" spans="1:43" s="522" customFormat="1" ht="12.75" customHeight="1">
      <c r="A148" s="4"/>
      <c r="B148" s="5"/>
      <c r="C148" s="555">
        <v>4</v>
      </c>
      <c r="D148" s="1036">
        <f t="shared" si="49"/>
      </c>
      <c r="E148" s="1037"/>
      <c r="F148" s="1037"/>
      <c r="G148" s="1038"/>
      <c r="H148" s="572">
        <f t="shared" si="50"/>
      </c>
      <c r="I148" s="573">
        <f t="shared" si="59"/>
      </c>
      <c r="J148" s="573">
        <f t="shared" si="51"/>
      </c>
      <c r="K148" s="550"/>
      <c r="L148" s="569"/>
      <c r="M148" s="569"/>
      <c r="N148" s="569"/>
      <c r="O148" s="323"/>
      <c r="P148" s="321"/>
      <c r="Q148" s="451" t="str">
        <f t="shared" si="52"/>
        <v>CAPINI_</v>
      </c>
      <c r="R148" s="455"/>
      <c r="S148" s="441"/>
      <c r="T148" s="441"/>
      <c r="U148" s="441"/>
      <c r="V148" s="453">
        <f t="shared" si="60"/>
        <v>2</v>
      </c>
      <c r="W148" s="441"/>
      <c r="X148" s="460">
        <f>SUMIF(C_MergerSplitTransfer!$U$9:$U$68,$Q148,CHOOSE($V148,C_MergerSplitTransfer!I$9:I$68,C_MergerSplitTransfer!L$9:L$68))</f>
        <v>0</v>
      </c>
      <c r="Y148" s="460">
        <f>SUMIF(C_MergerSplitTransfer!$U$9:$U$68,$Q148,CHOOSE($V148,C_MergerSplitTransfer!J$9:J$68,C_MergerSplitTransfer!M$9:M$68))</f>
        <v>0</v>
      </c>
      <c r="Z148" s="423"/>
      <c r="AA148" s="451">
        <f t="shared" si="53"/>
      </c>
      <c r="AB148" s="451">
        <f t="shared" si="54"/>
      </c>
      <c r="AC148" s="451">
        <f t="shared" si="55"/>
      </c>
      <c r="AD148" s="451">
        <f t="shared" si="56"/>
      </c>
      <c r="AE148" s="451">
        <f t="shared" si="57"/>
      </c>
      <c r="AF148" s="451">
        <f t="shared" si="58"/>
      </c>
      <c r="AG148" s="423"/>
      <c r="AH148" s="423"/>
      <c r="AI148" s="423"/>
      <c r="AJ148" s="423"/>
      <c r="AK148" s="423"/>
      <c r="AL148" s="423"/>
      <c r="AM148" s="423"/>
      <c r="AN148" s="423"/>
      <c r="AO148" s="423"/>
      <c r="AP148" s="423"/>
      <c r="AQ148" s="423"/>
    </row>
    <row r="149" spans="1:43" s="522" customFormat="1" ht="12.75" customHeight="1">
      <c r="A149" s="4"/>
      <c r="B149" s="5"/>
      <c r="C149" s="555">
        <v>5</v>
      </c>
      <c r="D149" s="1036">
        <f t="shared" si="49"/>
      </c>
      <c r="E149" s="1037"/>
      <c r="F149" s="1037"/>
      <c r="G149" s="1038"/>
      <c r="H149" s="572">
        <f t="shared" si="50"/>
      </c>
      <c r="I149" s="573">
        <f t="shared" si="59"/>
      </c>
      <c r="J149" s="573">
        <f t="shared" si="51"/>
      </c>
      <c r="K149" s="550"/>
      <c r="L149" s="569"/>
      <c r="M149" s="569"/>
      <c r="N149" s="569"/>
      <c r="O149" s="323"/>
      <c r="P149" s="321"/>
      <c r="Q149" s="451" t="str">
        <f t="shared" si="52"/>
        <v>CAPINI_</v>
      </c>
      <c r="R149" s="455"/>
      <c r="S149" s="441"/>
      <c r="T149" s="441"/>
      <c r="U149" s="441"/>
      <c r="V149" s="453">
        <f t="shared" si="60"/>
        <v>2</v>
      </c>
      <c r="W149" s="441"/>
      <c r="X149" s="460">
        <f>SUMIF(C_MergerSplitTransfer!$U$9:$U$68,$Q149,CHOOSE($V149,C_MergerSplitTransfer!I$9:I$68,C_MergerSplitTransfer!L$9:L$68))</f>
        <v>0</v>
      </c>
      <c r="Y149" s="460">
        <f>SUMIF(C_MergerSplitTransfer!$U$9:$U$68,$Q149,CHOOSE($V149,C_MergerSplitTransfer!J$9:J$68,C_MergerSplitTransfer!M$9:M$68))</f>
        <v>0</v>
      </c>
      <c r="Z149" s="423"/>
      <c r="AA149" s="451">
        <f t="shared" si="53"/>
      </c>
      <c r="AB149" s="451">
        <f t="shared" si="54"/>
      </c>
      <c r="AC149" s="451">
        <f t="shared" si="55"/>
      </c>
      <c r="AD149" s="451">
        <f t="shared" si="56"/>
      </c>
      <c r="AE149" s="451">
        <f t="shared" si="57"/>
      </c>
      <c r="AF149" s="451">
        <f t="shared" si="58"/>
      </c>
      <c r="AG149" s="423"/>
      <c r="AH149" s="423"/>
      <c r="AI149" s="423"/>
      <c r="AJ149" s="423"/>
      <c r="AK149" s="423"/>
      <c r="AL149" s="423"/>
      <c r="AM149" s="423"/>
      <c r="AN149" s="423"/>
      <c r="AO149" s="423"/>
      <c r="AP149" s="423"/>
      <c r="AQ149" s="423"/>
    </row>
    <row r="150" spans="1:43" s="522" customFormat="1" ht="12.75" customHeight="1">
      <c r="A150" s="4"/>
      <c r="B150" s="5"/>
      <c r="C150" s="555">
        <v>6</v>
      </c>
      <c r="D150" s="1036">
        <f t="shared" si="49"/>
      </c>
      <c r="E150" s="1037"/>
      <c r="F150" s="1037"/>
      <c r="G150" s="1038"/>
      <c r="H150" s="572">
        <f t="shared" si="50"/>
      </c>
      <c r="I150" s="573">
        <f t="shared" si="59"/>
      </c>
      <c r="J150" s="573">
        <f t="shared" si="51"/>
      </c>
      <c r="K150" s="550"/>
      <c r="L150" s="569"/>
      <c r="M150" s="569"/>
      <c r="N150" s="569"/>
      <c r="O150" s="323"/>
      <c r="P150" s="9"/>
      <c r="Q150" s="451" t="str">
        <f t="shared" si="52"/>
        <v>CAPINI_</v>
      </c>
      <c r="R150" s="455"/>
      <c r="S150" s="441"/>
      <c r="T150" s="441"/>
      <c r="U150" s="441"/>
      <c r="V150" s="453">
        <f t="shared" si="60"/>
        <v>2</v>
      </c>
      <c r="W150" s="441"/>
      <c r="X150" s="460">
        <f>SUMIF(C_MergerSplitTransfer!$U$9:$U$68,$Q150,CHOOSE($V150,C_MergerSplitTransfer!I$9:I$68,C_MergerSplitTransfer!L$9:L$68))</f>
        <v>0</v>
      </c>
      <c r="Y150" s="460">
        <f>SUMIF(C_MergerSplitTransfer!$U$9:$U$68,$Q150,CHOOSE($V150,C_MergerSplitTransfer!J$9:J$68,C_MergerSplitTransfer!M$9:M$68))</f>
        <v>0</v>
      </c>
      <c r="Z150" s="423"/>
      <c r="AA150" s="451">
        <f t="shared" si="53"/>
      </c>
      <c r="AB150" s="451">
        <f t="shared" si="54"/>
      </c>
      <c r="AC150" s="451">
        <f t="shared" si="55"/>
      </c>
      <c r="AD150" s="451">
        <f t="shared" si="56"/>
      </c>
      <c r="AE150" s="451">
        <f t="shared" si="57"/>
      </c>
      <c r="AF150" s="451">
        <f t="shared" si="58"/>
      </c>
      <c r="AG150" s="423"/>
      <c r="AH150" s="423"/>
      <c r="AI150" s="423"/>
      <c r="AJ150" s="423"/>
      <c r="AK150" s="423"/>
      <c r="AL150" s="423"/>
      <c r="AM150" s="423"/>
      <c r="AN150" s="423"/>
      <c r="AO150" s="423"/>
      <c r="AP150" s="423"/>
      <c r="AQ150" s="423"/>
    </row>
    <row r="151" spans="1:43" s="522" customFormat="1" ht="12.75" customHeight="1">
      <c r="A151" s="4"/>
      <c r="B151" s="5"/>
      <c r="C151" s="555">
        <v>7</v>
      </c>
      <c r="D151" s="1036">
        <f t="shared" si="49"/>
      </c>
      <c r="E151" s="1037"/>
      <c r="F151" s="1037"/>
      <c r="G151" s="1038"/>
      <c r="H151" s="572">
        <f t="shared" si="50"/>
      </c>
      <c r="I151" s="573">
        <f t="shared" si="59"/>
      </c>
      <c r="J151" s="573">
        <f t="shared" si="51"/>
      </c>
      <c r="K151" s="550"/>
      <c r="L151" s="569"/>
      <c r="M151" s="569"/>
      <c r="N151" s="569"/>
      <c r="O151" s="323"/>
      <c r="P151" s="9"/>
      <c r="Q151" s="451" t="str">
        <f t="shared" si="52"/>
        <v>CAPINI_</v>
      </c>
      <c r="R151" s="455"/>
      <c r="S151" s="441"/>
      <c r="T151" s="441"/>
      <c r="U151" s="441"/>
      <c r="V151" s="453">
        <f t="shared" si="60"/>
        <v>2</v>
      </c>
      <c r="W151" s="441"/>
      <c r="X151" s="460">
        <f>SUMIF(C_MergerSplitTransfer!$U$9:$U$68,$Q151,CHOOSE($V151,C_MergerSplitTransfer!I$9:I$68,C_MergerSplitTransfer!L$9:L$68))</f>
        <v>0</v>
      </c>
      <c r="Y151" s="460">
        <f>SUMIF(C_MergerSplitTransfer!$U$9:$U$68,$Q151,CHOOSE($V151,C_MergerSplitTransfer!J$9:J$68,C_MergerSplitTransfer!M$9:M$68))</f>
        <v>0</v>
      </c>
      <c r="Z151" s="423"/>
      <c r="AA151" s="451">
        <f t="shared" si="53"/>
      </c>
      <c r="AB151" s="451">
        <f t="shared" si="54"/>
      </c>
      <c r="AC151" s="451">
        <f t="shared" si="55"/>
      </c>
      <c r="AD151" s="451">
        <f t="shared" si="56"/>
      </c>
      <c r="AE151" s="451">
        <f t="shared" si="57"/>
      </c>
      <c r="AF151" s="451">
        <f t="shared" si="58"/>
      </c>
      <c r="AG151" s="423"/>
      <c r="AH151" s="423"/>
      <c r="AI151" s="423"/>
      <c r="AJ151" s="423"/>
      <c r="AK151" s="423"/>
      <c r="AL151" s="423"/>
      <c r="AM151" s="423"/>
      <c r="AN151" s="423"/>
      <c r="AO151" s="423"/>
      <c r="AP151" s="423"/>
      <c r="AQ151" s="423"/>
    </row>
    <row r="152" spans="1:43" s="522" customFormat="1" ht="12.75" customHeight="1">
      <c r="A152" s="4"/>
      <c r="B152" s="5"/>
      <c r="C152" s="555">
        <v>8</v>
      </c>
      <c r="D152" s="1036">
        <f t="shared" si="49"/>
      </c>
      <c r="E152" s="1037"/>
      <c r="F152" s="1037"/>
      <c r="G152" s="1038"/>
      <c r="H152" s="572">
        <f t="shared" si="50"/>
      </c>
      <c r="I152" s="573">
        <f t="shared" si="59"/>
      </c>
      <c r="J152" s="573">
        <f t="shared" si="51"/>
      </c>
      <c r="K152" s="550"/>
      <c r="L152" s="569"/>
      <c r="M152" s="569"/>
      <c r="N152" s="569"/>
      <c r="O152" s="323"/>
      <c r="P152" s="9"/>
      <c r="Q152" s="451" t="str">
        <f t="shared" si="52"/>
        <v>CAPINI_</v>
      </c>
      <c r="R152" s="455"/>
      <c r="S152" s="441"/>
      <c r="T152" s="441"/>
      <c r="U152" s="441"/>
      <c r="V152" s="453">
        <f t="shared" si="60"/>
        <v>2</v>
      </c>
      <c r="W152" s="441"/>
      <c r="X152" s="460">
        <f>SUMIF(C_MergerSplitTransfer!$U$9:$U$68,$Q152,CHOOSE($V152,C_MergerSplitTransfer!I$9:I$68,C_MergerSplitTransfer!L$9:L$68))</f>
        <v>0</v>
      </c>
      <c r="Y152" s="460">
        <f>SUMIF(C_MergerSplitTransfer!$U$9:$U$68,$Q152,CHOOSE($V152,C_MergerSplitTransfer!J$9:J$68,C_MergerSplitTransfer!M$9:M$68))</f>
        <v>0</v>
      </c>
      <c r="Z152" s="423"/>
      <c r="AA152" s="451">
        <f t="shared" si="53"/>
      </c>
      <c r="AB152" s="451">
        <f t="shared" si="54"/>
      </c>
      <c r="AC152" s="451">
        <f t="shared" si="55"/>
      </c>
      <c r="AD152" s="451">
        <f t="shared" si="56"/>
      </c>
      <c r="AE152" s="451">
        <f t="shared" si="57"/>
      </c>
      <c r="AF152" s="451">
        <f t="shared" si="58"/>
      </c>
      <c r="AG152" s="423"/>
      <c r="AH152" s="423"/>
      <c r="AI152" s="423"/>
      <c r="AJ152" s="423"/>
      <c r="AK152" s="423"/>
      <c r="AL152" s="423"/>
      <c r="AM152" s="423"/>
      <c r="AN152" s="423"/>
      <c r="AO152" s="423"/>
      <c r="AP152" s="423"/>
      <c r="AQ152" s="423"/>
    </row>
    <row r="153" spans="1:43" s="522" customFormat="1" ht="12.75" customHeight="1">
      <c r="A153" s="4"/>
      <c r="B153" s="5"/>
      <c r="C153" s="555">
        <v>9</v>
      </c>
      <c r="D153" s="1036">
        <f t="shared" si="49"/>
      </c>
      <c r="E153" s="1037"/>
      <c r="F153" s="1037"/>
      <c r="G153" s="1038"/>
      <c r="H153" s="572">
        <f t="shared" si="50"/>
      </c>
      <c r="I153" s="573">
        <f t="shared" si="59"/>
      </c>
      <c r="J153" s="573">
        <f t="shared" si="51"/>
      </c>
      <c r="K153" s="550"/>
      <c r="L153" s="569"/>
      <c r="M153" s="569"/>
      <c r="N153" s="569"/>
      <c r="O153" s="323"/>
      <c r="P153" s="9"/>
      <c r="Q153" s="451" t="str">
        <f t="shared" si="52"/>
        <v>CAPINI_</v>
      </c>
      <c r="R153" s="455"/>
      <c r="S153" s="441"/>
      <c r="T153" s="441"/>
      <c r="U153" s="441"/>
      <c r="V153" s="453">
        <f t="shared" si="60"/>
        <v>2</v>
      </c>
      <c r="W153" s="441"/>
      <c r="X153" s="460">
        <f>SUMIF(C_MergerSplitTransfer!$U$9:$U$68,$Q153,CHOOSE($V153,C_MergerSplitTransfer!I$9:I$68,C_MergerSplitTransfer!L$9:L$68))</f>
        <v>0</v>
      </c>
      <c r="Y153" s="460">
        <f>SUMIF(C_MergerSplitTransfer!$U$9:$U$68,$Q153,CHOOSE($V153,C_MergerSplitTransfer!J$9:J$68,C_MergerSplitTransfer!M$9:M$68))</f>
        <v>0</v>
      </c>
      <c r="Z153" s="423"/>
      <c r="AA153" s="451">
        <f t="shared" si="53"/>
      </c>
      <c r="AB153" s="451">
        <f t="shared" si="54"/>
      </c>
      <c r="AC153" s="451">
        <f t="shared" si="55"/>
      </c>
      <c r="AD153" s="451">
        <f t="shared" si="56"/>
      </c>
      <c r="AE153" s="451">
        <f t="shared" si="57"/>
      </c>
      <c r="AF153" s="451">
        <f t="shared" si="58"/>
      </c>
      <c r="AG153" s="423"/>
      <c r="AH153" s="423"/>
      <c r="AI153" s="423"/>
      <c r="AJ153" s="423"/>
      <c r="AK153" s="423"/>
      <c r="AL153" s="423"/>
      <c r="AM153" s="423"/>
      <c r="AN153" s="423"/>
      <c r="AO153" s="423"/>
      <c r="AP153" s="423"/>
      <c r="AQ153" s="423"/>
    </row>
    <row r="154" spans="1:43" s="522" customFormat="1" ht="12.75" customHeight="1">
      <c r="A154" s="4"/>
      <c r="B154" s="5"/>
      <c r="C154" s="558">
        <v>10</v>
      </c>
      <c r="D154" s="1039">
        <f t="shared" si="49"/>
      </c>
      <c r="E154" s="1040"/>
      <c r="F154" s="1040"/>
      <c r="G154" s="1041"/>
      <c r="H154" s="574">
        <f t="shared" si="50"/>
      </c>
      <c r="I154" s="575">
        <f t="shared" si="59"/>
      </c>
      <c r="J154" s="575">
        <f t="shared" si="51"/>
      </c>
      <c r="K154" s="550"/>
      <c r="L154" s="569"/>
      <c r="M154" s="569"/>
      <c r="N154" s="569"/>
      <c r="O154" s="323"/>
      <c r="P154" s="9"/>
      <c r="Q154" s="451" t="str">
        <f t="shared" si="52"/>
        <v>CAPINI_</v>
      </c>
      <c r="R154" s="455"/>
      <c r="S154" s="441"/>
      <c r="T154" s="441"/>
      <c r="U154" s="441"/>
      <c r="V154" s="453">
        <f t="shared" si="60"/>
        <v>2</v>
      </c>
      <c r="W154" s="441"/>
      <c r="X154" s="460">
        <f>SUMIF(C_MergerSplitTransfer!$U$9:$U$68,$Q154,CHOOSE($V154,C_MergerSplitTransfer!I$9:I$68,C_MergerSplitTransfer!L$9:L$68))</f>
        <v>0</v>
      </c>
      <c r="Y154" s="460">
        <f>SUMIF(C_MergerSplitTransfer!$U$9:$U$68,$Q154,CHOOSE($V154,C_MergerSplitTransfer!J$9:J$68,C_MergerSplitTransfer!M$9:M$68))</f>
        <v>0</v>
      </c>
      <c r="Z154" s="423"/>
      <c r="AA154" s="451">
        <f t="shared" si="53"/>
      </c>
      <c r="AB154" s="451">
        <f t="shared" si="54"/>
      </c>
      <c r="AC154" s="451">
        <f t="shared" si="55"/>
      </c>
      <c r="AD154" s="451">
        <f t="shared" si="56"/>
      </c>
      <c r="AE154" s="451">
        <f t="shared" si="57"/>
      </c>
      <c r="AF154" s="451">
        <f t="shared" si="58"/>
      </c>
      <c r="AG154" s="423"/>
      <c r="AH154" s="423"/>
      <c r="AI154" s="423"/>
      <c r="AJ154" s="423"/>
      <c r="AK154" s="423"/>
      <c r="AL154" s="423"/>
      <c r="AM154" s="423"/>
      <c r="AN154" s="423"/>
      <c r="AO154" s="423"/>
      <c r="AP154" s="423"/>
      <c r="AQ154" s="423"/>
    </row>
    <row r="155" spans="1:43" s="522" customFormat="1" ht="25.5" customHeight="1">
      <c r="A155" s="4"/>
      <c r="B155" s="5"/>
      <c r="C155" s="555">
        <v>11</v>
      </c>
      <c r="D155" s="1042" t="str">
        <f aca="true" t="shared" si="61" ref="D155:D160">INDEX(EUconst_FallBackListNames,C155-10)</f>
        <v>Sous-installation avec référentiel de chaleur, CL (risque de fuite de carbone)</v>
      </c>
      <c r="E155" s="1043"/>
      <c r="F155" s="1043"/>
      <c r="G155" s="1044"/>
      <c r="H155" s="570" t="str">
        <f aca="true" t="shared" si="62" ref="H155:H160">IF(D155&lt;&gt;"",INDEX(EUconst_FallBackListUnits,MATCH($D155,EUconst_FallBackListNames,0))&amp;" / "&amp;EUconst_Year,"")</f>
        <v>TJ / année</v>
      </c>
      <c r="I155" s="571">
        <f t="shared" si="59"/>
      </c>
      <c r="J155" s="571">
        <f t="shared" si="51"/>
      </c>
      <c r="K155" s="550"/>
      <c r="L155" s="569"/>
      <c r="M155" s="569"/>
      <c r="N155" s="569"/>
      <c r="O155" s="323"/>
      <c r="P155" s="9"/>
      <c r="Q155" s="451" t="str">
        <f t="shared" si="52"/>
        <v>CAPINI_Sous-installation avec référentiel de chaleur, CL (risque de fuite de carbone)</v>
      </c>
      <c r="R155" s="455"/>
      <c r="S155" s="441"/>
      <c r="T155" s="441"/>
      <c r="U155" s="441"/>
      <c r="V155" s="453">
        <f t="shared" si="60"/>
        <v>2</v>
      </c>
      <c r="W155" s="441"/>
      <c r="X155" s="460">
        <f>SUMIF(C_MergerSplitTransfer!$U$9:$U$68,$Q155,CHOOSE($V155,C_MergerSplitTransfer!I$9:I$68,C_MergerSplitTransfer!L$9:L$68))</f>
        <v>0</v>
      </c>
      <c r="Y155" s="460">
        <f>SUMIF(C_MergerSplitTransfer!$U$9:$U$68,$Q155,CHOOSE($V155,C_MergerSplitTransfer!J$9:J$68,C_MergerSplitTransfer!M$9:M$68))</f>
        <v>0</v>
      </c>
      <c r="Z155" s="423"/>
      <c r="AA155" s="451" t="b">
        <v>1</v>
      </c>
      <c r="AB155" s="451">
        <f>EUwideConstants!$C$304</f>
        <v>91</v>
      </c>
      <c r="AC155" s="451">
        <f>EUwideConstants!$H$304</f>
        <v>62.3</v>
      </c>
      <c r="AD155" s="451" t="str">
        <f aca="true" t="shared" si="63" ref="AD155:AD160">EUconst_EUA&amp;" / "&amp;AE155</f>
        <v>EUA / TJ</v>
      </c>
      <c r="AE155" s="451" t="str">
        <f>EUconst_TJ</f>
        <v>TJ</v>
      </c>
      <c r="AF155" s="451" t="str">
        <f aca="true" t="shared" si="64" ref="AF155:AF160">AE155&amp;" / "&amp;EUconst_Year</f>
        <v>TJ / année</v>
      </c>
      <c r="AG155" s="423"/>
      <c r="AH155" s="423"/>
      <c r="AI155" s="423"/>
      <c r="AJ155" s="423"/>
      <c r="AK155" s="423"/>
      <c r="AL155" s="423"/>
      <c r="AM155" s="423"/>
      <c r="AN155" s="423"/>
      <c r="AO155" s="423"/>
      <c r="AP155" s="423"/>
      <c r="AQ155" s="423"/>
    </row>
    <row r="156" spans="1:43" s="522" customFormat="1" ht="25.5" customHeight="1">
      <c r="A156" s="4"/>
      <c r="B156" s="5"/>
      <c r="C156" s="555">
        <v>12</v>
      </c>
      <c r="D156" s="1045" t="str">
        <f t="shared" si="61"/>
        <v>Sous-installation avec référentiel de chaleur, non-CL (sans risque de fuite de carbone)</v>
      </c>
      <c r="E156" s="1046"/>
      <c r="F156" s="1046"/>
      <c r="G156" s="1047"/>
      <c r="H156" s="572" t="str">
        <f t="shared" si="62"/>
        <v>TJ / année</v>
      </c>
      <c r="I156" s="573">
        <f t="shared" si="59"/>
      </c>
      <c r="J156" s="573">
        <f t="shared" si="51"/>
      </c>
      <c r="K156" s="550"/>
      <c r="L156" s="569"/>
      <c r="M156" s="569"/>
      <c r="N156" s="569"/>
      <c r="O156" s="323"/>
      <c r="P156" s="9"/>
      <c r="Q156" s="451" t="str">
        <f t="shared" si="52"/>
        <v>CAPINI_Sous-installation avec référentiel de chaleur, non-CL (sans risque de fuite de carbone)</v>
      </c>
      <c r="R156" s="455"/>
      <c r="S156" s="441"/>
      <c r="T156" s="441"/>
      <c r="U156" s="441"/>
      <c r="V156" s="453">
        <f t="shared" si="60"/>
        <v>2</v>
      </c>
      <c r="W156" s="441"/>
      <c r="X156" s="460">
        <f>SUMIF(C_MergerSplitTransfer!$U$9:$U$68,$Q156,CHOOSE($V156,C_MergerSplitTransfer!I$9:I$68,C_MergerSplitTransfer!L$9:L$68))</f>
        <v>0</v>
      </c>
      <c r="Y156" s="460">
        <f>SUMIF(C_MergerSplitTransfer!$U$9:$U$68,$Q156,CHOOSE($V156,C_MergerSplitTransfer!J$9:J$68,C_MergerSplitTransfer!M$9:M$68))</f>
        <v>0</v>
      </c>
      <c r="Z156" s="423"/>
      <c r="AA156" s="451" t="b">
        <v>0</v>
      </c>
      <c r="AB156" s="451">
        <f>EUwideConstants!$C$305</f>
        <v>92</v>
      </c>
      <c r="AC156" s="451">
        <f>EUwideConstants!$H$305</f>
        <v>62.3</v>
      </c>
      <c r="AD156" s="451" t="str">
        <f t="shared" si="63"/>
        <v>EUA / TJ</v>
      </c>
      <c r="AE156" s="451" t="str">
        <f>EUconst_TJ</f>
        <v>TJ</v>
      </c>
      <c r="AF156" s="451" t="str">
        <f t="shared" si="64"/>
        <v>TJ / année</v>
      </c>
      <c r="AG156" s="423"/>
      <c r="AH156" s="423"/>
      <c r="AI156" s="423"/>
      <c r="AJ156" s="423"/>
      <c r="AK156" s="423"/>
      <c r="AL156" s="423"/>
      <c r="AM156" s="423"/>
      <c r="AN156" s="423"/>
      <c r="AO156" s="423"/>
      <c r="AP156" s="423"/>
      <c r="AQ156" s="423"/>
    </row>
    <row r="157" spans="1:43" s="522" customFormat="1" ht="25.5" customHeight="1">
      <c r="A157" s="4"/>
      <c r="B157" s="5"/>
      <c r="C157" s="555">
        <v>13</v>
      </c>
      <c r="D157" s="1045" t="str">
        <f t="shared" si="61"/>
        <v>Sous-installation avec référentiel de combustibles, CL</v>
      </c>
      <c r="E157" s="1046"/>
      <c r="F157" s="1046"/>
      <c r="G157" s="1047"/>
      <c r="H157" s="572" t="str">
        <f t="shared" si="62"/>
        <v>TJ / année</v>
      </c>
      <c r="I157" s="573">
        <f t="shared" si="59"/>
      </c>
      <c r="J157" s="573">
        <f t="shared" si="51"/>
      </c>
      <c r="K157" s="550"/>
      <c r="L157" s="569"/>
      <c r="M157" s="569"/>
      <c r="N157" s="569"/>
      <c r="O157" s="323"/>
      <c r="P157" s="9"/>
      <c r="Q157" s="451" t="str">
        <f t="shared" si="52"/>
        <v>CAPINI_Sous-installation avec référentiel de combustibles, CL</v>
      </c>
      <c r="R157" s="455"/>
      <c r="S157" s="441"/>
      <c r="T157" s="441"/>
      <c r="U157" s="441"/>
      <c r="V157" s="453">
        <f t="shared" si="60"/>
        <v>2</v>
      </c>
      <c r="W157" s="441"/>
      <c r="X157" s="460">
        <f>SUMIF(C_MergerSplitTransfer!$U$9:$U$68,$Q157,CHOOSE($V157,C_MergerSplitTransfer!I$9:I$68,C_MergerSplitTransfer!L$9:L$68))</f>
        <v>0</v>
      </c>
      <c r="Y157" s="460">
        <f>SUMIF(C_MergerSplitTransfer!$U$9:$U$68,$Q157,CHOOSE($V157,C_MergerSplitTransfer!J$9:J$68,C_MergerSplitTransfer!M$9:M$68))</f>
        <v>0</v>
      </c>
      <c r="Z157" s="423"/>
      <c r="AA157" s="451" t="b">
        <v>1</v>
      </c>
      <c r="AB157" s="451">
        <f>EUwideConstants!$C$306</f>
        <v>93</v>
      </c>
      <c r="AC157" s="451">
        <f>EUwideConstants!$H$306</f>
        <v>56.1</v>
      </c>
      <c r="AD157" s="451" t="str">
        <f t="shared" si="63"/>
        <v>EUA / TJ</v>
      </c>
      <c r="AE157" s="451" t="str">
        <f>EUconst_TJ</f>
        <v>TJ</v>
      </c>
      <c r="AF157" s="451" t="str">
        <f t="shared" si="64"/>
        <v>TJ / année</v>
      </c>
      <c r="AG157" s="423"/>
      <c r="AH157" s="423"/>
      <c r="AI157" s="423"/>
      <c r="AJ157" s="423"/>
      <c r="AK157" s="423"/>
      <c r="AL157" s="423"/>
      <c r="AM157" s="423"/>
      <c r="AN157" s="423"/>
      <c r="AO157" s="423"/>
      <c r="AP157" s="423"/>
      <c r="AQ157" s="423"/>
    </row>
    <row r="158" spans="1:43" s="522" customFormat="1" ht="25.5" customHeight="1">
      <c r="A158" s="4"/>
      <c r="B158" s="5"/>
      <c r="C158" s="555">
        <v>14</v>
      </c>
      <c r="D158" s="1045" t="str">
        <f t="shared" si="61"/>
        <v>Sous-installation avec référentiel de combustibles, non-CL</v>
      </c>
      <c r="E158" s="1046"/>
      <c r="F158" s="1046"/>
      <c r="G158" s="1047"/>
      <c r="H158" s="572" t="str">
        <f t="shared" si="62"/>
        <v>TJ / année</v>
      </c>
      <c r="I158" s="573">
        <f t="shared" si="59"/>
      </c>
      <c r="J158" s="573">
        <f t="shared" si="51"/>
      </c>
      <c r="K158" s="550"/>
      <c r="L158" s="569"/>
      <c r="M158" s="569"/>
      <c r="N158" s="569"/>
      <c r="O158" s="323"/>
      <c r="P158" s="9"/>
      <c r="Q158" s="451" t="str">
        <f t="shared" si="52"/>
        <v>CAPINI_Sous-installation avec référentiel de combustibles, non-CL</v>
      </c>
      <c r="R158" s="455"/>
      <c r="S158" s="441"/>
      <c r="T158" s="441"/>
      <c r="U158" s="441"/>
      <c r="V158" s="453">
        <f t="shared" si="60"/>
        <v>2</v>
      </c>
      <c r="W158" s="441"/>
      <c r="X158" s="460">
        <f>SUMIF(C_MergerSplitTransfer!$U$9:$U$68,$Q158,CHOOSE($V158,C_MergerSplitTransfer!I$9:I$68,C_MergerSplitTransfer!L$9:L$68))</f>
        <v>0</v>
      </c>
      <c r="Y158" s="460">
        <f>SUMIF(C_MergerSplitTransfer!$U$9:$U$68,$Q158,CHOOSE($V158,C_MergerSplitTransfer!J$9:J$68,C_MergerSplitTransfer!M$9:M$68))</f>
        <v>0</v>
      </c>
      <c r="Z158" s="423"/>
      <c r="AA158" s="451" t="b">
        <v>0</v>
      </c>
      <c r="AB158" s="451">
        <f>EUwideConstants!$C$307</f>
        <v>94</v>
      </c>
      <c r="AC158" s="451">
        <f>EUwideConstants!$H$307</f>
        <v>56.1</v>
      </c>
      <c r="AD158" s="451" t="str">
        <f t="shared" si="63"/>
        <v>EUA / TJ</v>
      </c>
      <c r="AE158" s="451" t="str">
        <f>EUconst_TJ</f>
        <v>TJ</v>
      </c>
      <c r="AF158" s="451" t="str">
        <f t="shared" si="64"/>
        <v>TJ / année</v>
      </c>
      <c r="AG158" s="423"/>
      <c r="AH158" s="423"/>
      <c r="AI158" s="423"/>
      <c r="AJ158" s="423"/>
      <c r="AK158" s="423"/>
      <c r="AL158" s="423"/>
      <c r="AM158" s="423"/>
      <c r="AN158" s="423"/>
      <c r="AO158" s="423"/>
      <c r="AP158" s="423"/>
      <c r="AQ158" s="423"/>
    </row>
    <row r="159" spans="1:43" s="522" customFormat="1" ht="12.75" customHeight="1">
      <c r="A159" s="4"/>
      <c r="B159" s="5"/>
      <c r="C159" s="555">
        <v>15</v>
      </c>
      <c r="D159" s="1045" t="str">
        <f t="shared" si="61"/>
        <v>Sous-installation avec émissions de procédé, CL</v>
      </c>
      <c r="E159" s="1046"/>
      <c r="F159" s="1046"/>
      <c r="G159" s="1047"/>
      <c r="H159" s="572" t="str">
        <f t="shared" si="62"/>
        <v>t CO2e / année</v>
      </c>
      <c r="I159" s="573">
        <f t="shared" si="59"/>
      </c>
      <c r="J159" s="573">
        <f t="shared" si="51"/>
      </c>
      <c r="K159" s="550"/>
      <c r="L159" s="569"/>
      <c r="M159" s="569"/>
      <c r="N159" s="569"/>
      <c r="O159" s="323"/>
      <c r="P159" s="9"/>
      <c r="Q159" s="451" t="str">
        <f t="shared" si="52"/>
        <v>CAPINI_Sous-installation avec émissions de procédé, CL</v>
      </c>
      <c r="R159" s="455"/>
      <c r="S159" s="441"/>
      <c r="T159" s="441"/>
      <c r="U159" s="441"/>
      <c r="V159" s="453">
        <f t="shared" si="60"/>
        <v>2</v>
      </c>
      <c r="W159" s="441"/>
      <c r="X159" s="460">
        <f>SUMIF(C_MergerSplitTransfer!$U$9:$U$68,$Q159,CHOOSE($V159,C_MergerSplitTransfer!I$9:I$68,C_MergerSplitTransfer!L$9:L$68))</f>
        <v>0</v>
      </c>
      <c r="Y159" s="460">
        <f>SUMIF(C_MergerSplitTransfer!$U$9:$U$68,$Q159,CHOOSE($V159,C_MergerSplitTransfer!J$9:J$68,C_MergerSplitTransfer!M$9:M$68))</f>
        <v>0</v>
      </c>
      <c r="Z159" s="423"/>
      <c r="AA159" s="451" t="b">
        <v>1</v>
      </c>
      <c r="AB159" s="451">
        <f>EUwideConstants!$C$308</f>
        <v>95</v>
      </c>
      <c r="AC159" s="451">
        <f>EUwideConstants!$H$308</f>
        <v>0.97</v>
      </c>
      <c r="AD159" s="451" t="str">
        <f t="shared" si="63"/>
        <v>EUA / t CO2e</v>
      </c>
      <c r="AE159" s="451" t="str">
        <f>EUconst_tCO2e</f>
        <v>t CO2e</v>
      </c>
      <c r="AF159" s="451" t="str">
        <f t="shared" si="64"/>
        <v>t CO2e / année</v>
      </c>
      <c r="AG159" s="423"/>
      <c r="AH159" s="423"/>
      <c r="AI159" s="423"/>
      <c r="AJ159" s="423"/>
      <c r="AK159" s="423"/>
      <c r="AL159" s="423"/>
      <c r="AM159" s="423"/>
      <c r="AN159" s="423"/>
      <c r="AO159" s="423"/>
      <c r="AP159" s="423"/>
      <c r="AQ159" s="423"/>
    </row>
    <row r="160" spans="1:43" s="522" customFormat="1" ht="25.5" customHeight="1" thickBot="1">
      <c r="A160" s="4"/>
      <c r="B160" s="5"/>
      <c r="C160" s="558">
        <v>16</v>
      </c>
      <c r="D160" s="1048" t="str">
        <f t="shared" si="61"/>
        <v>Sous-installation avec émissions de procédé, non-CL</v>
      </c>
      <c r="E160" s="1049"/>
      <c r="F160" s="1049"/>
      <c r="G160" s="1050"/>
      <c r="H160" s="574" t="str">
        <f t="shared" si="62"/>
        <v>t CO2e / année</v>
      </c>
      <c r="I160" s="575">
        <f t="shared" si="59"/>
      </c>
      <c r="J160" s="575">
        <f t="shared" si="51"/>
      </c>
      <c r="K160" s="550"/>
      <c r="L160" s="569"/>
      <c r="M160" s="569"/>
      <c r="N160" s="569"/>
      <c r="O160" s="323"/>
      <c r="P160" s="9"/>
      <c r="Q160" s="451" t="str">
        <f t="shared" si="52"/>
        <v>CAPINI_Sous-installation avec émissions de procédé, non-CL</v>
      </c>
      <c r="R160" s="455"/>
      <c r="S160" s="441"/>
      <c r="T160" s="441"/>
      <c r="U160" s="441"/>
      <c r="V160" s="454">
        <f t="shared" si="60"/>
        <v>2</v>
      </c>
      <c r="W160" s="441"/>
      <c r="X160" s="460">
        <f>SUMIF(C_MergerSplitTransfer!$U$9:$U$68,$Q160,CHOOSE($V160,C_MergerSplitTransfer!I$9:I$68,C_MergerSplitTransfer!L$9:L$68))</f>
        <v>0</v>
      </c>
      <c r="Y160" s="460">
        <f>SUMIF(C_MergerSplitTransfer!$U$9:$U$68,$Q160,CHOOSE($V160,C_MergerSplitTransfer!J$9:J$68,C_MergerSplitTransfer!M$9:M$68))</f>
        <v>0</v>
      </c>
      <c r="Z160" s="423"/>
      <c r="AA160" s="451" t="b">
        <v>0</v>
      </c>
      <c r="AB160" s="451">
        <f>EUwideConstants!$C$309</f>
        <v>96</v>
      </c>
      <c r="AC160" s="451">
        <f>EUwideConstants!$H$309</f>
        <v>0.97</v>
      </c>
      <c r="AD160" s="451" t="str">
        <f t="shared" si="63"/>
        <v>EUA / t CO2e</v>
      </c>
      <c r="AE160" s="451" t="str">
        <f>EUconst_tCO2e</f>
        <v>t CO2e</v>
      </c>
      <c r="AF160" s="451" t="str">
        <f t="shared" si="64"/>
        <v>t CO2e / année</v>
      </c>
      <c r="AG160" s="423"/>
      <c r="AH160" s="423"/>
      <c r="AI160" s="423"/>
      <c r="AJ160" s="423"/>
      <c r="AK160" s="423"/>
      <c r="AL160" s="423"/>
      <c r="AM160" s="423"/>
      <c r="AN160" s="423"/>
      <c r="AO160" s="423"/>
      <c r="AP160" s="423"/>
      <c r="AQ160" s="423"/>
    </row>
    <row r="161" spans="1:43" s="522" customFormat="1" ht="12.75" customHeight="1">
      <c r="A161" s="4"/>
      <c r="B161" s="5"/>
      <c r="C161" s="7"/>
      <c r="D161" s="5"/>
      <c r="E161" s="5"/>
      <c r="F161" s="5"/>
      <c r="G161" s="5"/>
      <c r="H161" s="5"/>
      <c r="I161" s="5"/>
      <c r="J161" s="5"/>
      <c r="K161" s="5"/>
      <c r="L161" s="5"/>
      <c r="M161" s="9"/>
      <c r="N161" s="9"/>
      <c r="O161" s="315"/>
      <c r="P161" s="9"/>
      <c r="Q161" s="441"/>
      <c r="R161" s="455"/>
      <c r="S161" s="423"/>
      <c r="T161" s="423"/>
      <c r="U161" s="423"/>
      <c r="V161" s="423"/>
      <c r="W161" s="423"/>
      <c r="X161" s="423"/>
      <c r="Y161" s="423"/>
      <c r="Z161" s="423"/>
      <c r="AA161" s="423"/>
      <c r="AB161" s="423"/>
      <c r="AC161" s="423"/>
      <c r="AD161" s="423"/>
      <c r="AE161" s="423"/>
      <c r="AF161" s="423"/>
      <c r="AG161" s="423"/>
      <c r="AH161" s="423"/>
      <c r="AI161" s="423"/>
      <c r="AJ161" s="423"/>
      <c r="AK161" s="423"/>
      <c r="AL161" s="423"/>
      <c r="AM161" s="423"/>
      <c r="AN161" s="423"/>
      <c r="AO161" s="423"/>
      <c r="AP161" s="423"/>
      <c r="AQ161" s="423"/>
    </row>
    <row r="162" spans="1:43" s="522" customFormat="1" ht="12.75" customHeight="1">
      <c r="A162" s="4"/>
      <c r="B162" s="5"/>
      <c r="C162" s="7"/>
      <c r="D162" s="5"/>
      <c r="E162" s="5"/>
      <c r="F162" s="5"/>
      <c r="G162" s="5"/>
      <c r="H162" s="5"/>
      <c r="I162" s="5"/>
      <c r="J162" s="5"/>
      <c r="K162" s="5"/>
      <c r="L162" s="5"/>
      <c r="M162" s="9"/>
      <c r="N162" s="9"/>
      <c r="O162" s="315"/>
      <c r="P162" s="9"/>
      <c r="Q162" s="441"/>
      <c r="R162" s="423"/>
      <c r="S162" s="423"/>
      <c r="T162" s="423"/>
      <c r="U162" s="423"/>
      <c r="V162" s="423"/>
      <c r="W162" s="423"/>
      <c r="X162" s="423"/>
      <c r="Y162" s="423"/>
      <c r="Z162" s="423"/>
      <c r="AA162" s="423"/>
      <c r="AB162" s="423"/>
      <c r="AC162" s="423"/>
      <c r="AD162" s="423"/>
      <c r="AE162" s="423"/>
      <c r="AF162" s="423"/>
      <c r="AG162" s="423"/>
      <c r="AH162" s="423"/>
      <c r="AI162" s="423"/>
      <c r="AJ162" s="423"/>
      <c r="AK162" s="423"/>
      <c r="AL162" s="423"/>
      <c r="AM162" s="423"/>
      <c r="AN162" s="423"/>
      <c r="AO162" s="423"/>
      <c r="AP162" s="423"/>
      <c r="AQ162" s="423"/>
    </row>
    <row r="163" spans="1:43" s="522" customFormat="1" ht="12.75" customHeight="1">
      <c r="A163" s="4"/>
      <c r="B163" s="5"/>
      <c r="C163" s="7"/>
      <c r="D163" s="5"/>
      <c r="E163" s="5"/>
      <c r="F163" s="5"/>
      <c r="G163" s="5"/>
      <c r="H163" s="577"/>
      <c r="I163" s="576"/>
      <c r="J163" s="5"/>
      <c r="K163" s="5"/>
      <c r="L163" s="5"/>
      <c r="M163" s="9"/>
      <c r="N163" s="9"/>
      <c r="O163" s="315"/>
      <c r="P163" s="9"/>
      <c r="Q163" s="441"/>
      <c r="R163" s="423"/>
      <c r="S163" s="423"/>
      <c r="T163" s="423"/>
      <c r="U163" s="423"/>
      <c r="V163" s="423"/>
      <c r="W163" s="423"/>
      <c r="X163" s="423"/>
      <c r="Y163" s="423"/>
      <c r="Z163" s="423"/>
      <c r="AA163" s="423"/>
      <c r="AB163" s="423"/>
      <c r="AC163" s="423"/>
      <c r="AD163" s="423"/>
      <c r="AE163" s="423"/>
      <c r="AF163" s="423"/>
      <c r="AG163" s="423"/>
      <c r="AH163" s="423"/>
      <c r="AI163" s="423"/>
      <c r="AJ163" s="423"/>
      <c r="AK163" s="423"/>
      <c r="AL163" s="423"/>
      <c r="AM163" s="423"/>
      <c r="AN163" s="423"/>
      <c r="AO163" s="423"/>
      <c r="AP163" s="423"/>
      <c r="AQ163" s="423"/>
    </row>
    <row r="164" spans="1:43" s="522" customFormat="1" ht="12.75" customHeight="1">
      <c r="A164" s="4"/>
      <c r="B164" s="5"/>
      <c r="C164" s="7"/>
      <c r="D164" s="5"/>
      <c r="E164" s="5"/>
      <c r="F164" s="5"/>
      <c r="G164" s="5"/>
      <c r="H164" s="5"/>
      <c r="I164" s="5"/>
      <c r="J164" s="576"/>
      <c r="K164" s="579"/>
      <c r="L164" s="5"/>
      <c r="M164" s="9"/>
      <c r="N164" s="9"/>
      <c r="O164" s="315"/>
      <c r="P164" s="9"/>
      <c r="Q164" s="441"/>
      <c r="R164" s="423"/>
      <c r="S164" s="423"/>
      <c r="T164" s="423"/>
      <c r="U164" s="423"/>
      <c r="V164" s="423"/>
      <c r="W164" s="423"/>
      <c r="X164" s="423"/>
      <c r="Y164" s="423"/>
      <c r="Z164" s="423"/>
      <c r="AA164" s="423"/>
      <c r="AB164" s="423"/>
      <c r="AC164" s="423"/>
      <c r="AD164" s="423"/>
      <c r="AE164" s="423"/>
      <c r="AF164" s="423"/>
      <c r="AG164" s="423"/>
      <c r="AH164" s="423"/>
      <c r="AI164" s="423"/>
      <c r="AJ164" s="423"/>
      <c r="AK164" s="423"/>
      <c r="AL164" s="423"/>
      <c r="AM164" s="423"/>
      <c r="AN164" s="423"/>
      <c r="AO164" s="423"/>
      <c r="AP164" s="423"/>
      <c r="AQ164" s="423"/>
    </row>
    <row r="165" spans="1:43" s="522" customFormat="1" ht="12.75" customHeight="1">
      <c r="A165" s="4"/>
      <c r="B165" s="5"/>
      <c r="C165" s="7"/>
      <c r="D165" s="5"/>
      <c r="E165" s="5"/>
      <c r="F165" s="5"/>
      <c r="G165" s="5"/>
      <c r="H165" s="5"/>
      <c r="I165" s="577"/>
      <c r="J165" s="5"/>
      <c r="K165" s="5"/>
      <c r="L165" s="5"/>
      <c r="M165" s="9"/>
      <c r="N165" s="9"/>
      <c r="O165" s="315"/>
      <c r="P165" s="9"/>
      <c r="Q165" s="441"/>
      <c r="R165" s="423"/>
      <c r="S165" s="423"/>
      <c r="T165" s="423"/>
      <c r="U165" s="423"/>
      <c r="V165" s="423"/>
      <c r="W165" s="423"/>
      <c r="X165" s="423"/>
      <c r="Y165" s="423"/>
      <c r="Z165" s="423"/>
      <c r="AA165" s="423"/>
      <c r="AB165" s="423"/>
      <c r="AC165" s="423"/>
      <c r="AD165" s="423"/>
      <c r="AE165" s="423"/>
      <c r="AF165" s="423"/>
      <c r="AG165" s="423"/>
      <c r="AH165" s="423"/>
      <c r="AI165" s="423"/>
      <c r="AJ165" s="423"/>
      <c r="AK165" s="423"/>
      <c r="AL165" s="423"/>
      <c r="AM165" s="423"/>
      <c r="AN165" s="423"/>
      <c r="AO165" s="423"/>
      <c r="AP165" s="423"/>
      <c r="AQ165" s="423"/>
    </row>
    <row r="166" spans="2:9" ht="12.75">
      <c r="B166" s="529"/>
      <c r="C166" s="529"/>
      <c r="E166" s="529"/>
      <c r="I166" s="578"/>
    </row>
    <row r="167" ht="12.75">
      <c r="I167" s="578"/>
    </row>
    <row r="168" spans="2:9" ht="12.75">
      <c r="B168" s="529"/>
      <c r="E168" s="529"/>
      <c r="I168" s="578"/>
    </row>
    <row r="169" ht="12.75">
      <c r="I169" s="578"/>
    </row>
    <row r="170" spans="2:9" ht="12.75">
      <c r="B170" s="529"/>
      <c r="I170" s="578"/>
    </row>
    <row r="171" ht="12.75">
      <c r="I171" s="578"/>
    </row>
    <row r="172" spans="2:9" ht="12.75">
      <c r="B172" s="529"/>
      <c r="I172" s="578"/>
    </row>
    <row r="173" ht="12.75">
      <c r="I173" s="578"/>
    </row>
    <row r="174" spans="2:9" ht="12.75">
      <c r="B174" s="529"/>
      <c r="I174" s="578"/>
    </row>
    <row r="175" spans="2:9" ht="12.75">
      <c r="B175" s="529"/>
      <c r="I175" s="578"/>
    </row>
    <row r="176" ht="12.75">
      <c r="I176" s="578"/>
    </row>
    <row r="177" ht="12.75">
      <c r="I177" s="578"/>
    </row>
    <row r="178" spans="2:9" ht="12.75">
      <c r="B178" s="529"/>
      <c r="I178" s="578"/>
    </row>
    <row r="179" ht="12.75">
      <c r="I179" s="578"/>
    </row>
    <row r="180" ht="12.75">
      <c r="I180" s="578"/>
    </row>
    <row r="181" spans="2:9" ht="12.75">
      <c r="B181" s="529"/>
      <c r="I181" s="578"/>
    </row>
    <row r="182" ht="12.75">
      <c r="I182" s="578"/>
    </row>
    <row r="183" spans="2:9" ht="12.75">
      <c r="B183" s="529"/>
      <c r="I183" s="578"/>
    </row>
    <row r="184" ht="12.75">
      <c r="I184" s="578"/>
    </row>
    <row r="185" ht="12.75">
      <c r="I185" s="578"/>
    </row>
    <row r="186" ht="12.75">
      <c r="I186" s="578"/>
    </row>
    <row r="187" ht="12.75">
      <c r="I187" s="578"/>
    </row>
    <row r="188" ht="12.75">
      <c r="I188" s="578"/>
    </row>
    <row r="189" ht="12.75">
      <c r="I189" s="578"/>
    </row>
    <row r="190" ht="12.75">
      <c r="I190" s="578"/>
    </row>
    <row r="191" ht="12.75">
      <c r="I191" s="578"/>
    </row>
    <row r="192" ht="12.75">
      <c r="I192" s="578"/>
    </row>
    <row r="193" ht="12.75">
      <c r="I193" s="578"/>
    </row>
    <row r="194" ht="12.75">
      <c r="I194" s="578"/>
    </row>
    <row r="195" spans="2:9" ht="12.75">
      <c r="B195" s="529"/>
      <c r="I195" s="578"/>
    </row>
    <row r="196" ht="12.75">
      <c r="I196" s="578"/>
    </row>
    <row r="197" ht="12.75">
      <c r="I197" s="578"/>
    </row>
    <row r="198" ht="12.75">
      <c r="I198" s="578"/>
    </row>
    <row r="199" ht="12.75">
      <c r="I199" s="578"/>
    </row>
    <row r="200" ht="12.75">
      <c r="I200" s="578"/>
    </row>
    <row r="201" ht="12.75">
      <c r="I201" s="578"/>
    </row>
    <row r="202" ht="12.75">
      <c r="I202" s="578"/>
    </row>
    <row r="203" ht="12.75">
      <c r="I203" s="578"/>
    </row>
    <row r="204" ht="12.75">
      <c r="I204" s="578"/>
    </row>
    <row r="205" ht="12.75">
      <c r="I205" s="578"/>
    </row>
    <row r="206" ht="12.75">
      <c r="I206" s="578"/>
    </row>
    <row r="207" ht="12.75">
      <c r="I207" s="578"/>
    </row>
    <row r="208" ht="12.75">
      <c r="I208" s="578"/>
    </row>
    <row r="209" ht="12.75">
      <c r="I209" s="578"/>
    </row>
    <row r="210" ht="12.75">
      <c r="I210" s="578"/>
    </row>
    <row r="211" ht="12.75">
      <c r="I211" s="578"/>
    </row>
    <row r="212" ht="12.75">
      <c r="I212" s="578"/>
    </row>
    <row r="213" ht="12.75">
      <c r="I213" s="578"/>
    </row>
    <row r="214" ht="12.75">
      <c r="I214" s="578"/>
    </row>
    <row r="215" ht="12.75">
      <c r="I215" s="578"/>
    </row>
    <row r="216" ht="12.75">
      <c r="I216" s="578"/>
    </row>
    <row r="217" ht="12.75">
      <c r="I217" s="578"/>
    </row>
    <row r="218" ht="12.75">
      <c r="I218" s="578"/>
    </row>
    <row r="219" ht="12.75">
      <c r="I219" s="578"/>
    </row>
    <row r="220" ht="12.75">
      <c r="I220" s="578"/>
    </row>
    <row r="221" ht="12.75">
      <c r="I221" s="578"/>
    </row>
    <row r="222" ht="12.75">
      <c r="I222" s="578"/>
    </row>
    <row r="223" ht="12.75">
      <c r="I223" s="578"/>
    </row>
    <row r="224" ht="12.75">
      <c r="I224" s="578"/>
    </row>
    <row r="225" ht="12.75">
      <c r="I225" s="578"/>
    </row>
    <row r="226" ht="12.75">
      <c r="I226" s="578"/>
    </row>
    <row r="227" ht="12.75">
      <c r="I227" s="578"/>
    </row>
    <row r="228" ht="12.75">
      <c r="I228" s="578"/>
    </row>
    <row r="229" ht="12.75">
      <c r="I229" s="578"/>
    </row>
    <row r="230" ht="12.75">
      <c r="I230" s="578"/>
    </row>
    <row r="231" ht="12.75">
      <c r="I231" s="578"/>
    </row>
    <row r="232" ht="12.75">
      <c r="I232" s="578"/>
    </row>
    <row r="233" ht="12.75">
      <c r="I233" s="578"/>
    </row>
    <row r="234" ht="12.75">
      <c r="I234" s="578"/>
    </row>
    <row r="235" ht="12.75">
      <c r="I235" s="578"/>
    </row>
    <row r="236" ht="12.75">
      <c r="I236" s="578"/>
    </row>
    <row r="237" ht="12.75">
      <c r="I237" s="578"/>
    </row>
    <row r="238" ht="12.75">
      <c r="I238" s="578"/>
    </row>
    <row r="239" ht="12.75">
      <c r="I239" s="578"/>
    </row>
    <row r="240" ht="12.75">
      <c r="I240" s="578"/>
    </row>
    <row r="241" ht="12.75">
      <c r="I241" s="578"/>
    </row>
    <row r="242" ht="12.75">
      <c r="I242" s="578"/>
    </row>
    <row r="243" ht="12.75">
      <c r="I243" s="578"/>
    </row>
    <row r="244" ht="12.75">
      <c r="I244" s="578"/>
    </row>
    <row r="245" ht="12.75">
      <c r="I245" s="578"/>
    </row>
    <row r="246" ht="12.75">
      <c r="I246" s="578"/>
    </row>
    <row r="247" ht="12.75">
      <c r="I247" s="578"/>
    </row>
    <row r="248" ht="12.75">
      <c r="I248" s="578"/>
    </row>
    <row r="249" ht="12.75">
      <c r="I249" s="578"/>
    </row>
    <row r="250" ht="12.75">
      <c r="I250" s="578"/>
    </row>
    <row r="251" ht="12.75">
      <c r="I251" s="578"/>
    </row>
    <row r="252" ht="12.75">
      <c r="I252" s="578"/>
    </row>
    <row r="253" ht="12.75">
      <c r="I253" s="578"/>
    </row>
    <row r="254" ht="12.75">
      <c r="I254" s="578"/>
    </row>
    <row r="255" ht="12.75">
      <c r="I255" s="578"/>
    </row>
    <row r="256" ht="12.75">
      <c r="I256" s="578"/>
    </row>
    <row r="257" ht="12.75">
      <c r="I257" s="578"/>
    </row>
    <row r="258" ht="12.75">
      <c r="I258" s="578"/>
    </row>
    <row r="259" ht="12.75">
      <c r="I259" s="578"/>
    </row>
    <row r="260" ht="12.75">
      <c r="I260" s="578"/>
    </row>
    <row r="261" ht="12.75">
      <c r="I261" s="578"/>
    </row>
    <row r="262" ht="12.75">
      <c r="I262" s="578"/>
    </row>
    <row r="263" ht="12.75">
      <c r="I263" s="578"/>
    </row>
    <row r="264" ht="12.75">
      <c r="I264" s="578"/>
    </row>
    <row r="265" ht="12.75">
      <c r="I265" s="578"/>
    </row>
    <row r="266" ht="12.75">
      <c r="I266" s="578"/>
    </row>
    <row r="267" ht="12.75">
      <c r="I267" s="578"/>
    </row>
    <row r="268" ht="12.75">
      <c r="I268" s="578"/>
    </row>
    <row r="269" ht="12.75">
      <c r="I269" s="578"/>
    </row>
    <row r="270" ht="12.75">
      <c r="I270" s="578"/>
    </row>
    <row r="271" ht="12.75">
      <c r="I271" s="578"/>
    </row>
    <row r="272" ht="12.75">
      <c r="I272" s="578"/>
    </row>
    <row r="273" ht="12.75">
      <c r="I273" s="578"/>
    </row>
    <row r="274" ht="12.75">
      <c r="I274" s="578"/>
    </row>
    <row r="275" ht="12.75">
      <c r="I275" s="578"/>
    </row>
    <row r="276" ht="12.75">
      <c r="I276" s="578"/>
    </row>
    <row r="277" ht="12.75">
      <c r="I277" s="578"/>
    </row>
    <row r="278" ht="12.75">
      <c r="I278" s="578"/>
    </row>
    <row r="279" ht="12.75">
      <c r="I279" s="578"/>
    </row>
    <row r="280" ht="12.75">
      <c r="I280" s="578"/>
    </row>
    <row r="281" ht="12.75">
      <c r="I281" s="578"/>
    </row>
    <row r="282" ht="12.75">
      <c r="I282" s="578"/>
    </row>
    <row r="283" ht="12.75">
      <c r="I283" s="578"/>
    </row>
    <row r="284" ht="12.75">
      <c r="I284" s="578"/>
    </row>
    <row r="285" ht="12.75">
      <c r="I285" s="578"/>
    </row>
    <row r="286" ht="12.75">
      <c r="I286" s="578"/>
    </row>
    <row r="287" ht="12.75">
      <c r="I287" s="578"/>
    </row>
    <row r="288" ht="12.75">
      <c r="I288" s="578"/>
    </row>
    <row r="289" ht="12.75">
      <c r="I289" s="578"/>
    </row>
    <row r="290" ht="12.75">
      <c r="I290" s="578"/>
    </row>
    <row r="291" ht="12.75">
      <c r="I291" s="578"/>
    </row>
    <row r="292" ht="12.75">
      <c r="I292" s="578"/>
    </row>
    <row r="293" ht="12.75">
      <c r="I293" s="578"/>
    </row>
    <row r="294" ht="12.75">
      <c r="I294" s="578"/>
    </row>
    <row r="295" ht="12.75">
      <c r="I295" s="578"/>
    </row>
    <row r="296" ht="12.75">
      <c r="I296" s="578"/>
    </row>
    <row r="297" ht="12.75">
      <c r="I297" s="578"/>
    </row>
    <row r="298" ht="12.75">
      <c r="I298" s="578"/>
    </row>
    <row r="299" ht="12.75">
      <c r="I299" s="578"/>
    </row>
    <row r="300" ht="12.75">
      <c r="I300" s="578"/>
    </row>
    <row r="301" ht="12.75">
      <c r="I301" s="578"/>
    </row>
    <row r="302" ht="12.75">
      <c r="I302" s="578"/>
    </row>
    <row r="303" ht="12.75">
      <c r="I303" s="578"/>
    </row>
    <row r="304" ht="12.75">
      <c r="I304" s="578"/>
    </row>
    <row r="305" ht="12.75">
      <c r="I305" s="578"/>
    </row>
    <row r="306" ht="12.75">
      <c r="I306" s="578"/>
    </row>
    <row r="307" ht="12.75">
      <c r="I307" s="578"/>
    </row>
    <row r="308" ht="12.75">
      <c r="I308" s="578"/>
    </row>
    <row r="309" ht="12.75">
      <c r="I309" s="578"/>
    </row>
    <row r="310" ht="12.75">
      <c r="I310" s="578"/>
    </row>
    <row r="311" ht="12.75">
      <c r="I311" s="578"/>
    </row>
    <row r="312" ht="12.75">
      <c r="I312" s="578"/>
    </row>
    <row r="313" ht="12.75">
      <c r="I313" s="578"/>
    </row>
    <row r="314" ht="12.75">
      <c r="I314" s="578"/>
    </row>
    <row r="315" ht="12.75">
      <c r="I315" s="578"/>
    </row>
    <row r="316" ht="12.75">
      <c r="I316" s="578"/>
    </row>
    <row r="317" ht="12.75">
      <c r="I317" s="578"/>
    </row>
    <row r="318" ht="12.75">
      <c r="I318" s="578"/>
    </row>
    <row r="319" ht="12.75">
      <c r="I319" s="578"/>
    </row>
    <row r="320" ht="12.75">
      <c r="I320" s="578"/>
    </row>
    <row r="321" ht="12.75">
      <c r="I321" s="578"/>
    </row>
    <row r="322" ht="12.75">
      <c r="I322" s="578"/>
    </row>
    <row r="323" ht="12.75">
      <c r="I323" s="578"/>
    </row>
    <row r="324" ht="12.75">
      <c r="I324" s="578"/>
    </row>
    <row r="325" ht="12.75">
      <c r="I325" s="578"/>
    </row>
    <row r="326" ht="12.75">
      <c r="I326" s="578"/>
    </row>
    <row r="327" ht="12.75">
      <c r="I327" s="578"/>
    </row>
    <row r="328" ht="12.75">
      <c r="I328" s="578"/>
    </row>
    <row r="329" ht="12.75">
      <c r="I329" s="578"/>
    </row>
    <row r="330" ht="12.75">
      <c r="I330" s="578"/>
    </row>
    <row r="331" ht="12.75">
      <c r="I331" s="578"/>
    </row>
    <row r="332" ht="12.75">
      <c r="I332" s="578"/>
    </row>
    <row r="333" ht="12.75">
      <c r="I333" s="578"/>
    </row>
    <row r="334" ht="12.75">
      <c r="I334" s="578"/>
    </row>
    <row r="335" ht="12.75">
      <c r="I335" s="578"/>
    </row>
    <row r="336" ht="12.75">
      <c r="I336" s="578"/>
    </row>
    <row r="337" ht="12.75">
      <c r="I337" s="578"/>
    </row>
    <row r="338" ht="12.75">
      <c r="I338" s="578"/>
    </row>
    <row r="339" ht="12.75">
      <c r="I339" s="578"/>
    </row>
    <row r="340" ht="12.75">
      <c r="I340" s="578"/>
    </row>
    <row r="341" ht="12.75">
      <c r="I341" s="578"/>
    </row>
    <row r="342" ht="12.75">
      <c r="I342" s="578"/>
    </row>
    <row r="343" ht="12.75">
      <c r="I343" s="578"/>
    </row>
    <row r="344" ht="12.75">
      <c r="I344" s="578"/>
    </row>
    <row r="345" ht="12.75">
      <c r="I345" s="578"/>
    </row>
    <row r="346" ht="12.75">
      <c r="I346" s="578"/>
    </row>
    <row r="347" ht="12.75">
      <c r="I347" s="578"/>
    </row>
    <row r="348" ht="12.75">
      <c r="I348" s="578"/>
    </row>
    <row r="349" ht="12.75">
      <c r="I349" s="578"/>
    </row>
    <row r="350" ht="12.75">
      <c r="I350" s="578"/>
    </row>
    <row r="351" ht="12.75">
      <c r="I351" s="578"/>
    </row>
    <row r="352" ht="12.75">
      <c r="I352" s="578"/>
    </row>
    <row r="353" ht="12.75">
      <c r="I353" s="578"/>
    </row>
    <row r="354" ht="12.75">
      <c r="I354" s="578"/>
    </row>
    <row r="355" ht="12.75">
      <c r="I355" s="578"/>
    </row>
    <row r="356" ht="12.75">
      <c r="I356" s="578"/>
    </row>
    <row r="357" ht="12.75">
      <c r="I357" s="578"/>
    </row>
    <row r="358" ht="12.75">
      <c r="I358" s="578"/>
    </row>
    <row r="359" ht="12.75">
      <c r="I359" s="578"/>
    </row>
    <row r="360" ht="12.75">
      <c r="I360" s="578"/>
    </row>
    <row r="361" ht="12.75">
      <c r="I361" s="578"/>
    </row>
    <row r="362" ht="12.75">
      <c r="I362" s="578"/>
    </row>
    <row r="363" ht="12.75">
      <c r="I363" s="578"/>
    </row>
    <row r="364" ht="12.75">
      <c r="I364" s="578"/>
    </row>
    <row r="365" ht="12.75">
      <c r="I365" s="578"/>
    </row>
    <row r="366" ht="12.75">
      <c r="I366" s="578"/>
    </row>
    <row r="367" ht="12.75">
      <c r="I367" s="578"/>
    </row>
    <row r="368" ht="12.75">
      <c r="I368" s="578"/>
    </row>
    <row r="369" ht="12.75">
      <c r="I369" s="578"/>
    </row>
    <row r="370" ht="12.75">
      <c r="I370" s="578"/>
    </row>
    <row r="371" ht="12.75">
      <c r="I371" s="578"/>
    </row>
    <row r="372" ht="12.75">
      <c r="I372" s="578"/>
    </row>
    <row r="373" ht="12.75">
      <c r="I373" s="578"/>
    </row>
    <row r="374" ht="12.75">
      <c r="I374" s="578"/>
    </row>
    <row r="375" ht="12.75">
      <c r="I375" s="578"/>
    </row>
    <row r="376" ht="12.75">
      <c r="I376" s="578"/>
    </row>
    <row r="377" ht="12.75">
      <c r="I377" s="578"/>
    </row>
    <row r="378" ht="12.75">
      <c r="I378" s="578"/>
    </row>
    <row r="379" ht="12.75">
      <c r="I379" s="578"/>
    </row>
    <row r="380" ht="12.75">
      <c r="I380" s="578"/>
    </row>
    <row r="381" ht="12.75">
      <c r="I381" s="578"/>
    </row>
    <row r="382" ht="12.75">
      <c r="I382" s="578"/>
    </row>
    <row r="383" ht="12.75">
      <c r="I383" s="578"/>
    </row>
    <row r="384" ht="12.75">
      <c r="I384" s="578"/>
    </row>
    <row r="385" ht="12.75">
      <c r="I385" s="578"/>
    </row>
    <row r="386" ht="12.75">
      <c r="I386" s="578"/>
    </row>
    <row r="387" ht="12.75">
      <c r="I387" s="578"/>
    </row>
    <row r="388" ht="12.75">
      <c r="I388" s="578"/>
    </row>
    <row r="389" ht="12.75">
      <c r="I389" s="578"/>
    </row>
    <row r="390" ht="12.75">
      <c r="I390" s="578"/>
    </row>
    <row r="391" ht="12.75">
      <c r="I391" s="578"/>
    </row>
    <row r="392" ht="12.75">
      <c r="I392" s="578"/>
    </row>
    <row r="393" ht="12.75">
      <c r="I393" s="578"/>
    </row>
    <row r="394" ht="12.75">
      <c r="I394" s="578"/>
    </row>
    <row r="395" ht="12.75">
      <c r="I395" s="578"/>
    </row>
    <row r="396" ht="12.75">
      <c r="I396" s="578"/>
    </row>
    <row r="397" ht="12.75">
      <c r="I397" s="578"/>
    </row>
    <row r="398" ht="12.75">
      <c r="I398" s="578"/>
    </row>
    <row r="399" ht="12.75">
      <c r="I399" s="578"/>
    </row>
    <row r="400" ht="12.75">
      <c r="I400" s="578"/>
    </row>
    <row r="401" ht="12.75">
      <c r="I401" s="578"/>
    </row>
    <row r="402" ht="12.75">
      <c r="I402" s="578"/>
    </row>
    <row r="403" ht="12.75">
      <c r="I403" s="578"/>
    </row>
    <row r="404" ht="12.75">
      <c r="I404" s="578"/>
    </row>
    <row r="405" ht="12.75">
      <c r="I405" s="578"/>
    </row>
    <row r="406" ht="12.75">
      <c r="I406" s="578"/>
    </row>
    <row r="407" ht="12.75">
      <c r="I407" s="578"/>
    </row>
    <row r="408" ht="12.75">
      <c r="I408" s="578"/>
    </row>
    <row r="409" ht="12.75">
      <c r="I409" s="578"/>
    </row>
    <row r="410" ht="12.75">
      <c r="I410" s="578"/>
    </row>
    <row r="411" ht="12.75">
      <c r="I411" s="578"/>
    </row>
    <row r="412" ht="12.75">
      <c r="I412" s="578"/>
    </row>
    <row r="413" ht="12.75">
      <c r="I413" s="578"/>
    </row>
    <row r="414" ht="12.75">
      <c r="I414" s="578"/>
    </row>
    <row r="415" ht="12.75">
      <c r="I415" s="578"/>
    </row>
    <row r="416" ht="12.75">
      <c r="I416" s="578"/>
    </row>
    <row r="417" ht="12.75">
      <c r="I417" s="578"/>
    </row>
    <row r="418" ht="12.75">
      <c r="I418" s="578"/>
    </row>
    <row r="419" ht="12.75">
      <c r="I419" s="578"/>
    </row>
    <row r="420" ht="12.75">
      <c r="I420" s="578"/>
    </row>
    <row r="421" ht="12.75">
      <c r="I421" s="578"/>
    </row>
    <row r="422" ht="12.75">
      <c r="I422" s="578"/>
    </row>
    <row r="423" ht="12.75">
      <c r="I423" s="578"/>
    </row>
    <row r="424" ht="12.75">
      <c r="I424" s="578"/>
    </row>
    <row r="425" ht="12.75">
      <c r="I425" s="578"/>
    </row>
    <row r="426" ht="12.75">
      <c r="I426" s="578"/>
    </row>
    <row r="427" ht="12.75">
      <c r="I427" s="578"/>
    </row>
    <row r="428" ht="12.75">
      <c r="I428" s="578"/>
    </row>
    <row r="429" ht="12.75">
      <c r="I429" s="578"/>
    </row>
    <row r="430" ht="12.75">
      <c r="I430" s="578"/>
    </row>
    <row r="431" ht="12.75">
      <c r="I431" s="578"/>
    </row>
    <row r="432" ht="12.75">
      <c r="I432" s="578"/>
    </row>
    <row r="433" ht="12.75">
      <c r="I433" s="578"/>
    </row>
    <row r="434" ht="12.75">
      <c r="I434" s="578"/>
    </row>
    <row r="435" ht="12.75">
      <c r="I435" s="578"/>
    </row>
    <row r="436" ht="12.75">
      <c r="I436" s="578"/>
    </row>
    <row r="437" ht="12.75">
      <c r="I437" s="578"/>
    </row>
    <row r="438" ht="12.75">
      <c r="I438" s="578"/>
    </row>
    <row r="439" ht="12.75">
      <c r="I439" s="578"/>
    </row>
    <row r="440" ht="12.75">
      <c r="I440" s="578"/>
    </row>
    <row r="441" ht="12.75">
      <c r="I441" s="578"/>
    </row>
    <row r="442" ht="12.75">
      <c r="I442" s="578"/>
    </row>
    <row r="443" ht="12.75">
      <c r="I443" s="578"/>
    </row>
    <row r="444" ht="12.75">
      <c r="I444" s="578"/>
    </row>
    <row r="445" ht="12.75">
      <c r="I445" s="578"/>
    </row>
    <row r="446" ht="12.75">
      <c r="I446" s="578"/>
    </row>
    <row r="447" ht="12.75">
      <c r="I447" s="578"/>
    </row>
    <row r="448" ht="12.75">
      <c r="I448" s="578"/>
    </row>
    <row r="449" ht="12.75">
      <c r="I449" s="578"/>
    </row>
    <row r="450" ht="12.75">
      <c r="I450" s="578"/>
    </row>
    <row r="451" ht="12.75">
      <c r="I451" s="578"/>
    </row>
    <row r="452" ht="12.75">
      <c r="I452" s="578"/>
    </row>
    <row r="453" ht="12.75">
      <c r="I453" s="578"/>
    </row>
    <row r="454" ht="12.75">
      <c r="I454" s="578"/>
    </row>
    <row r="455" ht="12.75">
      <c r="I455" s="578"/>
    </row>
    <row r="456" ht="12.75">
      <c r="I456" s="578"/>
    </row>
    <row r="457" ht="12.75">
      <c r="I457" s="578"/>
    </row>
    <row r="458" ht="12.75">
      <c r="I458" s="578"/>
    </row>
    <row r="459" ht="12.75">
      <c r="I459" s="578"/>
    </row>
    <row r="460" ht="12.75">
      <c r="I460" s="578"/>
    </row>
    <row r="461" ht="12.75">
      <c r="I461" s="578"/>
    </row>
    <row r="462" ht="12.75">
      <c r="I462" s="578"/>
    </row>
    <row r="463" ht="12.75">
      <c r="I463" s="578"/>
    </row>
    <row r="464" ht="12.75">
      <c r="I464" s="578"/>
    </row>
    <row r="465" ht="12.75">
      <c r="I465" s="578"/>
    </row>
    <row r="466" ht="12.75">
      <c r="I466" s="578"/>
    </row>
    <row r="467" ht="12.75">
      <c r="I467" s="578"/>
    </row>
    <row r="468" ht="12.75">
      <c r="I468" s="578"/>
    </row>
    <row r="469" ht="12.75">
      <c r="I469" s="578"/>
    </row>
    <row r="470" ht="12.75">
      <c r="I470" s="578"/>
    </row>
    <row r="471" ht="12.75">
      <c r="I471" s="578"/>
    </row>
    <row r="472" ht="12.75">
      <c r="I472" s="578"/>
    </row>
    <row r="473" ht="12.75">
      <c r="I473" s="578"/>
    </row>
    <row r="474" ht="12.75">
      <c r="I474" s="578"/>
    </row>
    <row r="475" ht="12.75">
      <c r="I475" s="578"/>
    </row>
    <row r="476" ht="12.75">
      <c r="I476" s="578"/>
    </row>
    <row r="477" ht="12.75">
      <c r="I477" s="578"/>
    </row>
    <row r="478" ht="12.75">
      <c r="I478" s="578"/>
    </row>
    <row r="479" ht="12.75">
      <c r="I479" s="578"/>
    </row>
    <row r="480" ht="12.75">
      <c r="I480" s="578"/>
    </row>
    <row r="481" ht="12.75">
      <c r="I481" s="578"/>
    </row>
    <row r="482" ht="12.75">
      <c r="I482" s="578"/>
    </row>
    <row r="483" ht="12.75">
      <c r="I483" s="578"/>
    </row>
    <row r="484" ht="12.75">
      <c r="I484" s="578"/>
    </row>
    <row r="485" ht="12.75">
      <c r="I485" s="578"/>
    </row>
    <row r="486" ht="12.75">
      <c r="I486" s="578"/>
    </row>
    <row r="487" ht="12.75">
      <c r="I487" s="578"/>
    </row>
    <row r="488" ht="12.75">
      <c r="I488" s="578"/>
    </row>
    <row r="489" ht="12.75">
      <c r="I489" s="578"/>
    </row>
    <row r="490" ht="12.75">
      <c r="I490" s="578"/>
    </row>
    <row r="491" ht="12.75">
      <c r="I491" s="578"/>
    </row>
    <row r="492" ht="12.75">
      <c r="I492" s="578"/>
    </row>
    <row r="493" ht="12.75">
      <c r="I493" s="578"/>
    </row>
    <row r="494" ht="12.75">
      <c r="I494" s="578"/>
    </row>
    <row r="495" ht="12.75">
      <c r="I495" s="578"/>
    </row>
    <row r="496" ht="12.75">
      <c r="I496" s="578"/>
    </row>
    <row r="497" ht="12.75">
      <c r="I497" s="578"/>
    </row>
    <row r="498" ht="12.75">
      <c r="I498" s="578"/>
    </row>
    <row r="499" ht="12.75">
      <c r="I499" s="578"/>
    </row>
    <row r="500" ht="12.75">
      <c r="I500" s="578"/>
    </row>
    <row r="501" ht="12.75">
      <c r="I501" s="578"/>
    </row>
    <row r="502" ht="12.75">
      <c r="I502" s="578"/>
    </row>
    <row r="503" ht="12.75">
      <c r="I503" s="578"/>
    </row>
    <row r="504" ht="12.75">
      <c r="I504" s="578"/>
    </row>
    <row r="505" ht="12.75">
      <c r="I505" s="578"/>
    </row>
    <row r="506" ht="12.75">
      <c r="I506" s="578"/>
    </row>
    <row r="507" ht="12.75">
      <c r="I507" s="578"/>
    </row>
    <row r="508" ht="12.75">
      <c r="I508" s="578"/>
    </row>
    <row r="509" ht="12.75">
      <c r="I509" s="578"/>
    </row>
    <row r="510" ht="12.75">
      <c r="I510" s="578"/>
    </row>
    <row r="511" ht="12.75">
      <c r="I511" s="578"/>
    </row>
    <row r="512" ht="12.75">
      <c r="I512" s="578"/>
    </row>
    <row r="513" ht="12.75">
      <c r="I513" s="578"/>
    </row>
    <row r="514" ht="12.75">
      <c r="I514" s="578"/>
    </row>
    <row r="515" ht="12.75">
      <c r="I515" s="578"/>
    </row>
    <row r="516" ht="12.75">
      <c r="I516" s="578"/>
    </row>
    <row r="517" ht="12.75">
      <c r="I517" s="578"/>
    </row>
    <row r="518" ht="12.75">
      <c r="I518" s="578"/>
    </row>
    <row r="519" ht="12.75">
      <c r="I519" s="578"/>
    </row>
    <row r="520" ht="12.75">
      <c r="I520" s="578"/>
    </row>
    <row r="521" ht="12.75">
      <c r="I521" s="578"/>
    </row>
    <row r="522" ht="12.75">
      <c r="I522" s="578"/>
    </row>
    <row r="523" ht="12.75">
      <c r="I523" s="578"/>
    </row>
    <row r="524" ht="12.75">
      <c r="I524" s="578"/>
    </row>
    <row r="525" ht="12.75">
      <c r="I525" s="578"/>
    </row>
    <row r="526" ht="12.75">
      <c r="I526" s="578"/>
    </row>
    <row r="527" ht="12.75">
      <c r="I527" s="578"/>
    </row>
    <row r="528" ht="12.75">
      <c r="I528" s="578"/>
    </row>
    <row r="529" ht="12.75">
      <c r="I529" s="578"/>
    </row>
    <row r="530" ht="12.75">
      <c r="I530" s="578"/>
    </row>
    <row r="531" ht="12.75">
      <c r="I531" s="578"/>
    </row>
    <row r="532" ht="12.75">
      <c r="I532" s="578"/>
    </row>
    <row r="533" ht="12.75">
      <c r="I533" s="578"/>
    </row>
    <row r="534" ht="12.75">
      <c r="I534" s="578"/>
    </row>
    <row r="535" ht="12.75">
      <c r="I535" s="578"/>
    </row>
    <row r="536" ht="12.75">
      <c r="I536" s="578"/>
    </row>
    <row r="537" ht="12.75">
      <c r="I537" s="578"/>
    </row>
    <row r="538" ht="12.75">
      <c r="I538" s="578"/>
    </row>
    <row r="539" ht="12.75">
      <c r="I539" s="578"/>
    </row>
    <row r="540" ht="12.75">
      <c r="I540" s="578"/>
    </row>
    <row r="541" ht="12.75">
      <c r="I541" s="578"/>
    </row>
    <row r="542" ht="12.75">
      <c r="I542" s="578"/>
    </row>
    <row r="543" ht="12.75">
      <c r="I543" s="578"/>
    </row>
    <row r="544" ht="12.75">
      <c r="I544" s="578"/>
    </row>
    <row r="545" ht="12.75">
      <c r="I545" s="578"/>
    </row>
    <row r="546" ht="12.75">
      <c r="I546" s="578"/>
    </row>
    <row r="547" ht="12.75">
      <c r="I547" s="578"/>
    </row>
    <row r="548" ht="12.75">
      <c r="I548" s="578"/>
    </row>
    <row r="549" ht="12.75">
      <c r="I549" s="578"/>
    </row>
    <row r="550" ht="12.75">
      <c r="I550" s="578"/>
    </row>
    <row r="551" ht="12.75">
      <c r="I551" s="578"/>
    </row>
    <row r="552" ht="12.75">
      <c r="I552" s="578"/>
    </row>
    <row r="553" ht="12.75">
      <c r="I553" s="578"/>
    </row>
    <row r="554" ht="12.75">
      <c r="I554" s="578"/>
    </row>
    <row r="555" ht="12.75">
      <c r="I555" s="578"/>
    </row>
    <row r="556" ht="12.75">
      <c r="I556" s="578"/>
    </row>
    <row r="557" ht="12.75">
      <c r="I557" s="578"/>
    </row>
    <row r="558" ht="12.75">
      <c r="I558" s="578"/>
    </row>
    <row r="559" ht="12.75">
      <c r="I559" s="578"/>
    </row>
    <row r="560" ht="12.75">
      <c r="I560" s="578"/>
    </row>
    <row r="561" ht="12.75">
      <c r="I561" s="578"/>
    </row>
    <row r="562" ht="12.75">
      <c r="I562" s="578"/>
    </row>
    <row r="563" ht="12.75">
      <c r="I563" s="578"/>
    </row>
    <row r="564" ht="12.75">
      <c r="I564" s="578"/>
    </row>
    <row r="565" ht="12.75">
      <c r="I565" s="578"/>
    </row>
    <row r="566" ht="12.75">
      <c r="I566" s="578"/>
    </row>
    <row r="567" ht="12.75">
      <c r="I567" s="578"/>
    </row>
    <row r="568" ht="12.75">
      <c r="I568" s="578"/>
    </row>
    <row r="569" ht="12.75">
      <c r="I569" s="578"/>
    </row>
    <row r="570" ht="12.75">
      <c r="I570" s="578"/>
    </row>
    <row r="571" ht="12.75">
      <c r="I571" s="578"/>
    </row>
    <row r="572" ht="12.75">
      <c r="I572" s="578"/>
    </row>
    <row r="573" ht="12.75">
      <c r="I573" s="578"/>
    </row>
    <row r="574" ht="12.75">
      <c r="I574" s="578"/>
    </row>
    <row r="575" ht="12.75">
      <c r="I575" s="578"/>
    </row>
    <row r="576" ht="12.75">
      <c r="I576" s="578"/>
    </row>
    <row r="577" ht="12.75">
      <c r="I577" s="578"/>
    </row>
    <row r="578" ht="12.75">
      <c r="I578" s="578"/>
    </row>
    <row r="579" ht="12.75">
      <c r="I579" s="578"/>
    </row>
    <row r="580" ht="12.75">
      <c r="I580" s="578"/>
    </row>
    <row r="581" ht="12.75">
      <c r="I581" s="578"/>
    </row>
    <row r="582" ht="12.75">
      <c r="I582" s="578"/>
    </row>
    <row r="583" ht="12.75">
      <c r="I583" s="578"/>
    </row>
    <row r="584" ht="12.75">
      <c r="I584" s="578"/>
    </row>
    <row r="585" ht="12.75">
      <c r="I585" s="578"/>
    </row>
    <row r="586" ht="12.75">
      <c r="I586" s="578"/>
    </row>
    <row r="587" ht="12.75">
      <c r="I587" s="578"/>
    </row>
    <row r="588" ht="12.75">
      <c r="I588" s="578"/>
    </row>
    <row r="589" ht="12.75">
      <c r="I589" s="578"/>
    </row>
    <row r="590" ht="12.75">
      <c r="I590" s="578"/>
    </row>
    <row r="591" ht="12.75">
      <c r="I591" s="578"/>
    </row>
    <row r="592" ht="12.75">
      <c r="I592" s="578"/>
    </row>
    <row r="593" ht="12.75">
      <c r="I593" s="578"/>
    </row>
    <row r="594" ht="12.75">
      <c r="I594" s="578"/>
    </row>
    <row r="595" ht="12.75">
      <c r="I595" s="578"/>
    </row>
    <row r="596" ht="12.75">
      <c r="I596" s="578"/>
    </row>
    <row r="597" ht="12.75">
      <c r="I597" s="578"/>
    </row>
    <row r="598" ht="12.75">
      <c r="I598" s="578"/>
    </row>
    <row r="599" ht="12.75">
      <c r="I599" s="578"/>
    </row>
    <row r="600" ht="12.75">
      <c r="I600" s="578"/>
    </row>
    <row r="601" ht="12.75">
      <c r="I601" s="578"/>
    </row>
    <row r="602" ht="12.75">
      <c r="I602" s="578"/>
    </row>
    <row r="603" ht="12.75">
      <c r="I603" s="578"/>
    </row>
    <row r="604" ht="12.75">
      <c r="I604" s="578"/>
    </row>
    <row r="605" ht="12.75">
      <c r="I605" s="578"/>
    </row>
    <row r="606" ht="12.75">
      <c r="I606" s="578"/>
    </row>
    <row r="607" ht="12.75">
      <c r="I607" s="578"/>
    </row>
    <row r="608" ht="12.75">
      <c r="I608" s="578"/>
    </row>
    <row r="609" ht="12.75">
      <c r="I609" s="578"/>
    </row>
    <row r="610" ht="12.75">
      <c r="I610" s="578"/>
    </row>
    <row r="611" ht="12.75">
      <c r="I611" s="578"/>
    </row>
    <row r="612" ht="12.75">
      <c r="I612" s="578"/>
    </row>
    <row r="613" ht="12.75">
      <c r="I613" s="578"/>
    </row>
    <row r="614" ht="12.75">
      <c r="I614" s="578"/>
    </row>
    <row r="615" ht="12.75">
      <c r="I615" s="578"/>
    </row>
    <row r="616" ht="12.75">
      <c r="I616" s="578"/>
    </row>
    <row r="617" ht="12.75">
      <c r="I617" s="578"/>
    </row>
    <row r="618" ht="12.75">
      <c r="I618" s="578"/>
    </row>
    <row r="619" ht="12.75">
      <c r="I619" s="578"/>
    </row>
    <row r="620" ht="12.75">
      <c r="I620" s="578"/>
    </row>
    <row r="621" ht="12.75">
      <c r="I621" s="578"/>
    </row>
    <row r="622" ht="12.75">
      <c r="I622" s="578"/>
    </row>
    <row r="623" ht="12.75">
      <c r="I623" s="578"/>
    </row>
    <row r="624" ht="12.75">
      <c r="I624" s="578"/>
    </row>
    <row r="625" ht="12.75">
      <c r="I625" s="578"/>
    </row>
    <row r="626" ht="12.75">
      <c r="I626" s="578"/>
    </row>
    <row r="627" ht="12.75">
      <c r="I627" s="578"/>
    </row>
    <row r="628" ht="12.75">
      <c r="I628" s="578"/>
    </row>
    <row r="629" ht="12.75">
      <c r="I629" s="578"/>
    </row>
    <row r="630" ht="12.75">
      <c r="I630" s="578"/>
    </row>
    <row r="631" ht="12.75">
      <c r="I631" s="578"/>
    </row>
    <row r="632" ht="12.75">
      <c r="I632" s="578"/>
    </row>
    <row r="633" ht="12.75">
      <c r="I633" s="578"/>
    </row>
    <row r="634" ht="12.75">
      <c r="I634" s="578"/>
    </row>
    <row r="635" ht="12.75">
      <c r="I635" s="578"/>
    </row>
    <row r="636" ht="12.75">
      <c r="I636" s="578"/>
    </row>
    <row r="637" ht="12.75">
      <c r="I637" s="578"/>
    </row>
    <row r="638" ht="12.75">
      <c r="I638" s="578"/>
    </row>
    <row r="639" ht="12.75">
      <c r="I639" s="578"/>
    </row>
    <row r="640" ht="12.75">
      <c r="I640" s="578"/>
    </row>
    <row r="641" ht="12.75">
      <c r="I641" s="578"/>
    </row>
    <row r="642" ht="12.75">
      <c r="I642" s="578"/>
    </row>
    <row r="643" ht="12.75">
      <c r="I643" s="578"/>
    </row>
    <row r="644" ht="12.75">
      <c r="I644" s="578"/>
    </row>
    <row r="645" ht="12.75">
      <c r="I645" s="578"/>
    </row>
    <row r="646" ht="12.75">
      <c r="I646" s="578"/>
    </row>
    <row r="647" ht="12.75">
      <c r="I647" s="578"/>
    </row>
    <row r="648" ht="12.75">
      <c r="I648" s="578"/>
    </row>
    <row r="649" ht="12.75">
      <c r="I649" s="578"/>
    </row>
    <row r="650" ht="12.75">
      <c r="I650" s="578"/>
    </row>
    <row r="651" ht="12.75">
      <c r="I651" s="578"/>
    </row>
    <row r="652" ht="12.75">
      <c r="I652" s="578"/>
    </row>
    <row r="653" ht="12.75">
      <c r="I653" s="578"/>
    </row>
    <row r="654" ht="12.75">
      <c r="I654" s="578"/>
    </row>
    <row r="655" ht="12.75">
      <c r="I655" s="578"/>
    </row>
    <row r="656" ht="12.75">
      <c r="I656" s="578"/>
    </row>
    <row r="657" ht="12.75">
      <c r="I657" s="578"/>
    </row>
    <row r="658" ht="12.75">
      <c r="I658" s="578"/>
    </row>
    <row r="659" ht="12.75">
      <c r="I659" s="578"/>
    </row>
    <row r="660" ht="12.75">
      <c r="I660" s="578"/>
    </row>
    <row r="661" ht="12.75">
      <c r="I661" s="578"/>
    </row>
    <row r="662" ht="12.75">
      <c r="I662" s="578"/>
    </row>
    <row r="663" ht="12.75">
      <c r="I663" s="578"/>
    </row>
    <row r="664" ht="12.75">
      <c r="I664" s="578"/>
    </row>
    <row r="665" ht="12.75">
      <c r="I665" s="578"/>
    </row>
    <row r="666" ht="12.75">
      <c r="I666" s="578"/>
    </row>
    <row r="667" ht="12.75">
      <c r="I667" s="578"/>
    </row>
    <row r="668" ht="12.75">
      <c r="I668" s="578"/>
    </row>
    <row r="669" ht="12.75">
      <c r="I669" s="578"/>
    </row>
    <row r="670" ht="12.75">
      <c r="I670" s="578"/>
    </row>
    <row r="671" ht="12.75">
      <c r="I671" s="578"/>
    </row>
    <row r="672" ht="12.75">
      <c r="I672" s="578"/>
    </row>
    <row r="673" ht="12.75">
      <c r="I673" s="578"/>
    </row>
    <row r="674" ht="12.75">
      <c r="I674" s="578"/>
    </row>
    <row r="675" ht="12.75">
      <c r="I675" s="578"/>
    </row>
    <row r="676" ht="12.75">
      <c r="I676" s="578"/>
    </row>
    <row r="677" ht="12.75">
      <c r="I677" s="578"/>
    </row>
    <row r="678" ht="12.75">
      <c r="I678" s="578"/>
    </row>
    <row r="679" ht="12.75">
      <c r="I679" s="578"/>
    </row>
    <row r="680" ht="12.75">
      <c r="I680" s="578"/>
    </row>
    <row r="681" ht="12.75">
      <c r="I681" s="578"/>
    </row>
    <row r="682" ht="12.75">
      <c r="I682" s="578"/>
    </row>
    <row r="683" ht="12.75">
      <c r="I683" s="578"/>
    </row>
    <row r="684" ht="12.75">
      <c r="I684" s="578"/>
    </row>
    <row r="685" ht="12.75">
      <c r="I685" s="578"/>
    </row>
    <row r="686" ht="12.75">
      <c r="I686" s="578"/>
    </row>
    <row r="687" ht="12.75">
      <c r="I687" s="578"/>
    </row>
    <row r="688" ht="12.75">
      <c r="I688" s="578"/>
    </row>
    <row r="689" ht="12.75">
      <c r="I689" s="578"/>
    </row>
    <row r="690" ht="12.75">
      <c r="I690" s="578"/>
    </row>
    <row r="691" ht="12.75">
      <c r="I691" s="578"/>
    </row>
    <row r="692" ht="12.75">
      <c r="I692" s="578"/>
    </row>
    <row r="693" ht="12.75">
      <c r="I693" s="578"/>
    </row>
    <row r="694" ht="12.75">
      <c r="I694" s="578"/>
    </row>
    <row r="695" ht="12.75">
      <c r="I695" s="578"/>
    </row>
    <row r="696" ht="12.75">
      <c r="I696" s="578"/>
    </row>
    <row r="697" ht="12.75">
      <c r="I697" s="578"/>
    </row>
    <row r="698" ht="12.75">
      <c r="I698" s="578"/>
    </row>
    <row r="699" ht="12.75">
      <c r="I699" s="578"/>
    </row>
    <row r="700" ht="12.75">
      <c r="I700" s="578"/>
    </row>
    <row r="701" ht="12.75">
      <c r="I701" s="578"/>
    </row>
    <row r="702" ht="12.75">
      <c r="I702" s="578"/>
    </row>
    <row r="703" ht="12.75">
      <c r="I703" s="578"/>
    </row>
    <row r="704" ht="12.75">
      <c r="I704" s="578"/>
    </row>
    <row r="705" ht="12.75">
      <c r="I705" s="578"/>
    </row>
    <row r="706" ht="12.75">
      <c r="I706" s="578"/>
    </row>
    <row r="707" ht="12.75">
      <c r="I707" s="578"/>
    </row>
    <row r="708" ht="12.75">
      <c r="I708" s="578"/>
    </row>
    <row r="709" ht="12.75">
      <c r="I709" s="578"/>
    </row>
    <row r="710" ht="12.75">
      <c r="I710" s="578"/>
    </row>
    <row r="711" ht="12.75">
      <c r="I711" s="578"/>
    </row>
    <row r="712" ht="12.75">
      <c r="I712" s="578"/>
    </row>
    <row r="713" ht="12.75">
      <c r="I713" s="578"/>
    </row>
    <row r="714" ht="12.75">
      <c r="I714" s="578"/>
    </row>
    <row r="715" ht="12.75">
      <c r="I715" s="578"/>
    </row>
    <row r="716" ht="12.75">
      <c r="I716" s="578"/>
    </row>
    <row r="717" ht="12.75">
      <c r="I717" s="578"/>
    </row>
    <row r="718" ht="12.75">
      <c r="I718" s="578"/>
    </row>
    <row r="719" ht="12.75">
      <c r="I719" s="578"/>
    </row>
    <row r="720" ht="12.75">
      <c r="I720" s="578"/>
    </row>
    <row r="721" ht="12.75">
      <c r="I721" s="578"/>
    </row>
    <row r="722" ht="12.75">
      <c r="I722" s="578"/>
    </row>
    <row r="723" ht="12.75">
      <c r="I723" s="578"/>
    </row>
    <row r="724" ht="12.75">
      <c r="I724" s="578"/>
    </row>
    <row r="725" ht="12.75">
      <c r="I725" s="578"/>
    </row>
    <row r="726" ht="12.75">
      <c r="I726" s="578"/>
    </row>
    <row r="727" ht="12.75">
      <c r="I727" s="578"/>
    </row>
    <row r="728" ht="12.75">
      <c r="I728" s="578"/>
    </row>
    <row r="729" ht="12.75">
      <c r="I729" s="578"/>
    </row>
    <row r="730" ht="12.75">
      <c r="I730" s="578"/>
    </row>
    <row r="731" ht="12.75">
      <c r="I731" s="578"/>
    </row>
    <row r="732" ht="12.75">
      <c r="I732" s="578"/>
    </row>
    <row r="733" ht="12.75">
      <c r="I733" s="578"/>
    </row>
    <row r="734" ht="12.75">
      <c r="I734" s="578"/>
    </row>
    <row r="735" ht="12.75">
      <c r="I735" s="578"/>
    </row>
    <row r="736" ht="12.75">
      <c r="I736" s="578"/>
    </row>
    <row r="737" ht="12.75">
      <c r="I737" s="578"/>
    </row>
    <row r="738" ht="12.75">
      <c r="I738" s="578"/>
    </row>
    <row r="739" ht="12.75">
      <c r="I739" s="578"/>
    </row>
    <row r="740" ht="12.75">
      <c r="I740" s="578"/>
    </row>
    <row r="741" ht="12.75">
      <c r="I741" s="578"/>
    </row>
    <row r="742" ht="12.75">
      <c r="I742" s="578"/>
    </row>
    <row r="743" ht="12.75">
      <c r="I743" s="578"/>
    </row>
    <row r="744" ht="12.75">
      <c r="I744" s="578"/>
    </row>
    <row r="745" ht="12.75">
      <c r="I745" s="578"/>
    </row>
    <row r="746" ht="12.75">
      <c r="I746" s="578"/>
    </row>
    <row r="747" ht="12.75">
      <c r="I747" s="578"/>
    </row>
    <row r="748" ht="12.75">
      <c r="I748" s="578"/>
    </row>
    <row r="749" ht="12.75">
      <c r="I749" s="578"/>
    </row>
    <row r="750" ht="12.75">
      <c r="I750" s="578"/>
    </row>
    <row r="751" ht="12.75">
      <c r="I751" s="578"/>
    </row>
    <row r="752" ht="12.75">
      <c r="I752" s="578"/>
    </row>
    <row r="753" ht="12.75">
      <c r="I753" s="578"/>
    </row>
    <row r="754" ht="12.75">
      <c r="I754" s="578"/>
    </row>
    <row r="755" ht="12.75">
      <c r="I755" s="578"/>
    </row>
    <row r="756" ht="12.75">
      <c r="I756" s="578"/>
    </row>
    <row r="757" ht="12.75">
      <c r="I757" s="578"/>
    </row>
    <row r="758" ht="12.75">
      <c r="I758" s="578"/>
    </row>
    <row r="759" ht="12.75">
      <c r="I759" s="578"/>
    </row>
    <row r="760" ht="12.75">
      <c r="I760" s="578"/>
    </row>
    <row r="761" ht="12.75">
      <c r="I761" s="578"/>
    </row>
    <row r="762" ht="12.75">
      <c r="I762" s="578"/>
    </row>
    <row r="763" ht="12.75">
      <c r="I763" s="578"/>
    </row>
    <row r="764" ht="12.75">
      <c r="I764" s="578"/>
    </row>
    <row r="765" ht="12.75">
      <c r="I765" s="578"/>
    </row>
    <row r="766" ht="12.75">
      <c r="I766" s="578"/>
    </row>
    <row r="767" ht="12.75">
      <c r="I767" s="578"/>
    </row>
    <row r="768" ht="12.75">
      <c r="I768" s="578"/>
    </row>
    <row r="769" ht="12.75">
      <c r="I769" s="578"/>
    </row>
    <row r="770" ht="12.75">
      <c r="I770" s="578"/>
    </row>
    <row r="771" ht="12.75">
      <c r="I771" s="578"/>
    </row>
    <row r="772" ht="12.75">
      <c r="I772" s="578"/>
    </row>
    <row r="773" ht="12.75">
      <c r="I773" s="578"/>
    </row>
    <row r="774" ht="12.75">
      <c r="I774" s="578"/>
    </row>
    <row r="775" ht="12.75">
      <c r="I775" s="578"/>
    </row>
    <row r="776" ht="12.75">
      <c r="I776" s="578"/>
    </row>
    <row r="777" ht="12.75">
      <c r="I777" s="578"/>
    </row>
    <row r="778" ht="12.75">
      <c r="I778" s="578"/>
    </row>
    <row r="779" ht="12.75">
      <c r="I779" s="578"/>
    </row>
    <row r="780" ht="12.75">
      <c r="I780" s="578"/>
    </row>
    <row r="781" ht="12.75">
      <c r="I781" s="578"/>
    </row>
    <row r="782" ht="12.75">
      <c r="I782" s="578"/>
    </row>
    <row r="783" ht="12.75">
      <c r="I783" s="578"/>
    </row>
    <row r="784" ht="12.75">
      <c r="I784" s="578"/>
    </row>
    <row r="785" ht="12.75">
      <c r="I785" s="578"/>
    </row>
    <row r="786" ht="12.75">
      <c r="I786" s="578"/>
    </row>
    <row r="787" ht="12.75">
      <c r="I787" s="578"/>
    </row>
    <row r="788" ht="12.75">
      <c r="I788" s="578"/>
    </row>
    <row r="789" ht="12.75">
      <c r="I789" s="578"/>
    </row>
    <row r="790" ht="12.75">
      <c r="I790" s="578"/>
    </row>
    <row r="791" ht="12.75">
      <c r="I791" s="578"/>
    </row>
    <row r="792" ht="12.75">
      <c r="I792" s="578"/>
    </row>
    <row r="793" ht="12.75">
      <c r="I793" s="578"/>
    </row>
    <row r="794" ht="12.75">
      <c r="I794" s="578"/>
    </row>
    <row r="795" ht="12.75">
      <c r="I795" s="578"/>
    </row>
    <row r="796" ht="12.75">
      <c r="I796" s="578"/>
    </row>
    <row r="797" ht="12.75">
      <c r="I797" s="578"/>
    </row>
    <row r="798" ht="12.75">
      <c r="I798" s="578"/>
    </row>
    <row r="799" ht="12.75">
      <c r="I799" s="578"/>
    </row>
    <row r="800" ht="12.75">
      <c r="I800" s="578"/>
    </row>
    <row r="801" ht="12.75">
      <c r="I801" s="578"/>
    </row>
    <row r="802" ht="12.75">
      <c r="I802" s="578"/>
    </row>
    <row r="803" ht="12.75">
      <c r="I803" s="578"/>
    </row>
    <row r="804" ht="12.75">
      <c r="I804" s="578"/>
    </row>
    <row r="805" ht="12.75">
      <c r="I805" s="578"/>
    </row>
    <row r="806" ht="12.75">
      <c r="I806" s="578"/>
    </row>
    <row r="807" ht="12.75">
      <c r="I807" s="578"/>
    </row>
    <row r="808" ht="12.75">
      <c r="I808" s="578"/>
    </row>
    <row r="809" ht="12.75">
      <c r="I809" s="578"/>
    </row>
    <row r="810" ht="12.75">
      <c r="I810" s="578"/>
    </row>
    <row r="811" ht="12.75">
      <c r="I811" s="578"/>
    </row>
    <row r="812" ht="12.75">
      <c r="I812" s="578"/>
    </row>
    <row r="813" ht="12.75">
      <c r="I813" s="578"/>
    </row>
    <row r="814" ht="12.75">
      <c r="I814" s="578"/>
    </row>
    <row r="815" ht="12.75">
      <c r="I815" s="578"/>
    </row>
    <row r="816" ht="12.75">
      <c r="I816" s="578"/>
    </row>
    <row r="817" ht="12.75">
      <c r="I817" s="578"/>
    </row>
    <row r="818" ht="12.75">
      <c r="I818" s="578"/>
    </row>
    <row r="819" ht="12.75">
      <c r="I819" s="578"/>
    </row>
    <row r="820" ht="12.75">
      <c r="I820" s="578"/>
    </row>
    <row r="821" ht="12.75">
      <c r="I821" s="578"/>
    </row>
    <row r="822" ht="12.75">
      <c r="I822" s="578"/>
    </row>
    <row r="823" ht="12.75">
      <c r="I823" s="578"/>
    </row>
    <row r="824" ht="12.75">
      <c r="I824" s="578"/>
    </row>
    <row r="825" ht="12.75">
      <c r="I825" s="578"/>
    </row>
    <row r="826" ht="12.75">
      <c r="I826" s="578"/>
    </row>
    <row r="827" ht="12.75">
      <c r="I827" s="578"/>
    </row>
    <row r="828" ht="12.75">
      <c r="I828" s="578"/>
    </row>
    <row r="829" ht="12.75">
      <c r="I829" s="578"/>
    </row>
    <row r="830" ht="12.75">
      <c r="I830" s="578"/>
    </row>
    <row r="831" ht="12.75">
      <c r="I831" s="578"/>
    </row>
    <row r="832" ht="12.75">
      <c r="I832" s="578"/>
    </row>
    <row r="833" ht="12.75">
      <c r="I833" s="578"/>
    </row>
    <row r="834" ht="12.75">
      <c r="I834" s="578"/>
    </row>
    <row r="835" ht="12.75">
      <c r="I835" s="578"/>
    </row>
    <row r="836" ht="12.75">
      <c r="I836" s="578"/>
    </row>
    <row r="837" ht="12.75">
      <c r="I837" s="578"/>
    </row>
    <row r="838" ht="12.75">
      <c r="I838" s="578"/>
    </row>
    <row r="839" ht="12.75">
      <c r="I839" s="578"/>
    </row>
    <row r="840" ht="12.75">
      <c r="I840" s="578"/>
    </row>
    <row r="841" ht="12.75">
      <c r="I841" s="578"/>
    </row>
    <row r="842" ht="12.75">
      <c r="I842" s="578"/>
    </row>
    <row r="843" ht="12.75">
      <c r="I843" s="578"/>
    </row>
    <row r="844" ht="12.75">
      <c r="I844" s="578"/>
    </row>
    <row r="845" ht="12.75">
      <c r="I845" s="578"/>
    </row>
    <row r="846" ht="12.75">
      <c r="I846" s="578"/>
    </row>
    <row r="847" ht="12.75">
      <c r="I847" s="578"/>
    </row>
    <row r="848" ht="12.75">
      <c r="I848" s="578"/>
    </row>
    <row r="849" ht="12.75">
      <c r="I849" s="578"/>
    </row>
    <row r="850" ht="12.75">
      <c r="I850" s="578"/>
    </row>
    <row r="851" ht="12.75">
      <c r="I851" s="578"/>
    </row>
    <row r="852" ht="12.75">
      <c r="I852" s="578"/>
    </row>
    <row r="853" ht="12.75">
      <c r="I853" s="578"/>
    </row>
    <row r="854" ht="12.75">
      <c r="I854" s="578"/>
    </row>
    <row r="855" ht="12.75">
      <c r="I855" s="578"/>
    </row>
    <row r="856" ht="12.75">
      <c r="I856" s="578"/>
    </row>
    <row r="857" ht="12.75">
      <c r="I857" s="578"/>
    </row>
    <row r="858" ht="12.75">
      <c r="I858" s="578"/>
    </row>
    <row r="859" ht="12.75">
      <c r="I859" s="578"/>
    </row>
    <row r="860" ht="12.75">
      <c r="I860" s="578"/>
    </row>
    <row r="861" ht="12.75">
      <c r="I861" s="578"/>
    </row>
    <row r="862" ht="12.75">
      <c r="I862" s="578"/>
    </row>
    <row r="863" ht="12.75">
      <c r="I863" s="578"/>
    </row>
    <row r="864" ht="12.75">
      <c r="I864" s="578"/>
    </row>
    <row r="865" ht="12.75">
      <c r="I865" s="578"/>
    </row>
    <row r="866" ht="12.75">
      <c r="I866" s="578"/>
    </row>
    <row r="867" ht="12.75">
      <c r="I867" s="578"/>
    </row>
    <row r="868" ht="12.75">
      <c r="I868" s="578"/>
    </row>
    <row r="869" ht="12.75">
      <c r="I869" s="578"/>
    </row>
    <row r="870" ht="12.75">
      <c r="I870" s="578"/>
    </row>
    <row r="871" ht="12.75">
      <c r="I871" s="578"/>
    </row>
    <row r="872" ht="12.75">
      <c r="I872" s="578"/>
    </row>
    <row r="873" ht="12.75">
      <c r="I873" s="578"/>
    </row>
    <row r="874" ht="12.75">
      <c r="I874" s="578"/>
    </row>
    <row r="875" ht="12.75">
      <c r="I875" s="578"/>
    </row>
    <row r="876" ht="12.75">
      <c r="I876" s="578"/>
    </row>
    <row r="877" ht="12.75">
      <c r="I877" s="578"/>
    </row>
    <row r="878" ht="12.75">
      <c r="I878" s="578"/>
    </row>
    <row r="879" ht="12.75">
      <c r="I879" s="578"/>
    </row>
    <row r="880" ht="12.75">
      <c r="I880" s="578"/>
    </row>
    <row r="881" ht="12.75">
      <c r="I881" s="578"/>
    </row>
    <row r="882" ht="12.75">
      <c r="I882" s="578"/>
    </row>
    <row r="883" ht="12.75">
      <c r="I883" s="578"/>
    </row>
    <row r="884" ht="12.75">
      <c r="I884" s="578"/>
    </row>
    <row r="885" ht="12.75">
      <c r="I885" s="578"/>
    </row>
    <row r="886" ht="12.75">
      <c r="I886" s="578"/>
    </row>
    <row r="887" ht="12.75">
      <c r="I887" s="578"/>
    </row>
    <row r="888" ht="12.75">
      <c r="I888" s="578"/>
    </row>
    <row r="889" ht="12.75">
      <c r="I889" s="578"/>
    </row>
    <row r="890" ht="12.75">
      <c r="I890" s="578"/>
    </row>
    <row r="891" ht="12.75">
      <c r="I891" s="578"/>
    </row>
    <row r="892" ht="12.75">
      <c r="I892" s="578"/>
    </row>
    <row r="893" ht="12.75">
      <c r="I893" s="578"/>
    </row>
    <row r="894" ht="12.75">
      <c r="I894" s="578"/>
    </row>
    <row r="895" ht="12.75">
      <c r="I895" s="578"/>
    </row>
    <row r="896" ht="12.75">
      <c r="I896" s="578"/>
    </row>
    <row r="897" ht="12.75">
      <c r="I897" s="578"/>
    </row>
    <row r="898" ht="12.75">
      <c r="I898" s="578"/>
    </row>
    <row r="899" ht="12.75">
      <c r="I899" s="578"/>
    </row>
    <row r="900" ht="12.75">
      <c r="I900" s="578"/>
    </row>
    <row r="901" ht="12.75">
      <c r="I901" s="578"/>
    </row>
    <row r="902" ht="12.75">
      <c r="I902" s="578"/>
    </row>
    <row r="903" ht="12.75">
      <c r="I903" s="578"/>
    </row>
    <row r="904" ht="12.75">
      <c r="I904" s="578"/>
    </row>
    <row r="905" ht="12.75">
      <c r="I905" s="578"/>
    </row>
    <row r="906" ht="12.75">
      <c r="I906" s="578"/>
    </row>
    <row r="907" ht="12.75">
      <c r="I907" s="578"/>
    </row>
    <row r="908" ht="12.75">
      <c r="I908" s="578"/>
    </row>
    <row r="909" ht="12.75">
      <c r="I909" s="578"/>
    </row>
    <row r="910" ht="12.75">
      <c r="I910" s="578"/>
    </row>
    <row r="911" ht="12.75">
      <c r="I911" s="578"/>
    </row>
    <row r="912" ht="12.75">
      <c r="I912" s="578"/>
    </row>
    <row r="913" ht="12.75">
      <c r="I913" s="578"/>
    </row>
    <row r="914" ht="12.75">
      <c r="I914" s="578"/>
    </row>
    <row r="915" ht="12.75">
      <c r="I915" s="578"/>
    </row>
    <row r="916" ht="12.75">
      <c r="I916" s="578"/>
    </row>
    <row r="917" ht="12.75">
      <c r="I917" s="578"/>
    </row>
    <row r="918" ht="12.75">
      <c r="I918" s="578"/>
    </row>
    <row r="919" ht="12.75">
      <c r="I919" s="578"/>
    </row>
    <row r="920" ht="12.75">
      <c r="I920" s="578"/>
    </row>
    <row r="921" ht="12.75">
      <c r="I921" s="578"/>
    </row>
    <row r="922" ht="12.75">
      <c r="I922" s="578"/>
    </row>
    <row r="923" ht="12.75">
      <c r="I923" s="578"/>
    </row>
    <row r="924" ht="12.75">
      <c r="I924" s="578"/>
    </row>
    <row r="925" ht="12.75">
      <c r="I925" s="578"/>
    </row>
    <row r="926" ht="12.75">
      <c r="I926" s="578"/>
    </row>
    <row r="927" ht="12.75">
      <c r="I927" s="578"/>
    </row>
    <row r="928" ht="12.75">
      <c r="I928" s="578"/>
    </row>
    <row r="929" ht="12.75">
      <c r="I929" s="578"/>
    </row>
    <row r="930" ht="12.75">
      <c r="I930" s="578"/>
    </row>
    <row r="931" ht="12.75">
      <c r="I931" s="578"/>
    </row>
    <row r="932" ht="12.75">
      <c r="I932" s="578"/>
    </row>
    <row r="933" ht="12.75">
      <c r="I933" s="578"/>
    </row>
    <row r="934" ht="12.75">
      <c r="I934" s="578"/>
    </row>
    <row r="935" ht="12.75">
      <c r="I935" s="578"/>
    </row>
    <row r="936" ht="12.75">
      <c r="I936" s="578"/>
    </row>
    <row r="937" ht="12.75">
      <c r="I937" s="578"/>
    </row>
    <row r="938" ht="12.75">
      <c r="I938" s="578"/>
    </row>
    <row r="939" ht="12.75">
      <c r="I939" s="578"/>
    </row>
    <row r="940" ht="12.75">
      <c r="I940" s="578"/>
    </row>
    <row r="941" ht="12.75">
      <c r="I941" s="578"/>
    </row>
    <row r="942" ht="12.75">
      <c r="I942" s="578"/>
    </row>
    <row r="943" ht="12.75">
      <c r="I943" s="578"/>
    </row>
    <row r="944" ht="12.75">
      <c r="I944" s="578"/>
    </row>
    <row r="945" ht="12.75">
      <c r="I945" s="578"/>
    </row>
    <row r="946" ht="12.75">
      <c r="I946" s="578"/>
    </row>
    <row r="947" ht="12.75">
      <c r="I947" s="578"/>
    </row>
    <row r="948" ht="12.75">
      <c r="I948" s="578"/>
    </row>
    <row r="949" ht="12.75">
      <c r="I949" s="578"/>
    </row>
    <row r="950" ht="12.75">
      <c r="I950" s="578"/>
    </row>
    <row r="951" ht="12.75">
      <c r="I951" s="578"/>
    </row>
    <row r="952" ht="12.75">
      <c r="I952" s="578"/>
    </row>
    <row r="953" ht="12.75">
      <c r="I953" s="578"/>
    </row>
    <row r="954" ht="12.75">
      <c r="I954" s="578"/>
    </row>
    <row r="955" ht="12.75">
      <c r="I955" s="578"/>
    </row>
    <row r="956" ht="12.75">
      <c r="I956" s="578"/>
    </row>
    <row r="957" ht="12.75">
      <c r="I957" s="578"/>
    </row>
    <row r="958" ht="12.75">
      <c r="I958" s="578"/>
    </row>
    <row r="959" ht="12.75">
      <c r="I959" s="578"/>
    </row>
    <row r="960" ht="12.75">
      <c r="I960" s="578"/>
    </row>
    <row r="961" ht="12.75">
      <c r="I961" s="578"/>
    </row>
    <row r="962" ht="12.75">
      <c r="I962" s="578"/>
    </row>
    <row r="963" ht="12.75">
      <c r="I963" s="578"/>
    </row>
    <row r="964" ht="12.75">
      <c r="I964" s="578"/>
    </row>
    <row r="965" ht="12.75">
      <c r="I965" s="578"/>
    </row>
    <row r="966" ht="12.75">
      <c r="I966" s="578"/>
    </row>
    <row r="967" ht="12.75">
      <c r="I967" s="578"/>
    </row>
    <row r="968" ht="12.75">
      <c r="I968" s="578"/>
    </row>
    <row r="969" ht="12.75">
      <c r="I969" s="578"/>
    </row>
    <row r="970" ht="12.75">
      <c r="I970" s="578"/>
    </row>
    <row r="971" ht="12.75">
      <c r="I971" s="578"/>
    </row>
    <row r="972" ht="12.75">
      <c r="I972" s="578"/>
    </row>
    <row r="973" ht="12.75">
      <c r="I973" s="578"/>
    </row>
    <row r="974" ht="12.75">
      <c r="I974" s="578"/>
    </row>
    <row r="975" ht="12.75">
      <c r="I975" s="578"/>
    </row>
    <row r="976" ht="12.75">
      <c r="I976" s="578"/>
    </row>
    <row r="977" ht="12.75">
      <c r="I977" s="578"/>
    </row>
    <row r="978" ht="12.75">
      <c r="I978" s="578"/>
    </row>
    <row r="979" ht="12.75">
      <c r="I979" s="578"/>
    </row>
    <row r="980" ht="12.75">
      <c r="I980" s="578"/>
    </row>
    <row r="981" ht="12.75">
      <c r="I981" s="578"/>
    </row>
    <row r="982" ht="12.75">
      <c r="I982" s="578"/>
    </row>
    <row r="983" ht="12.75">
      <c r="I983" s="578"/>
    </row>
    <row r="984" ht="12.75">
      <c r="I984" s="578"/>
    </row>
    <row r="985" ht="12.75">
      <c r="I985" s="578"/>
    </row>
    <row r="986" ht="12.75">
      <c r="I986" s="578"/>
    </row>
    <row r="987" ht="12.75">
      <c r="I987" s="578"/>
    </row>
    <row r="988" ht="12.75">
      <c r="I988" s="578"/>
    </row>
    <row r="989" ht="12.75">
      <c r="I989" s="578"/>
    </row>
    <row r="990" ht="12.75">
      <c r="I990" s="578"/>
    </row>
    <row r="991" ht="12.75">
      <c r="I991" s="578"/>
    </row>
    <row r="992" ht="12.75">
      <c r="I992" s="578"/>
    </row>
    <row r="993" ht="12.75">
      <c r="I993" s="578"/>
    </row>
    <row r="994" ht="12.75">
      <c r="I994" s="578"/>
    </row>
    <row r="995" ht="12.75">
      <c r="I995" s="578"/>
    </row>
    <row r="996" ht="12.75">
      <c r="I996" s="578"/>
    </row>
    <row r="997" ht="12.75">
      <c r="I997" s="578"/>
    </row>
    <row r="998" ht="12.75">
      <c r="I998" s="578"/>
    </row>
    <row r="999" ht="12.75">
      <c r="I999" s="578"/>
    </row>
    <row r="1000" ht="12.75">
      <c r="I1000" s="578"/>
    </row>
    <row r="1001" ht="12.75">
      <c r="I1001" s="578"/>
    </row>
    <row r="1002" ht="12.75">
      <c r="I1002" s="578"/>
    </row>
    <row r="1003" ht="12.75">
      <c r="I1003" s="578"/>
    </row>
    <row r="1004" ht="12.75">
      <c r="I1004" s="578"/>
    </row>
    <row r="1005" ht="12.75">
      <c r="I1005" s="578"/>
    </row>
    <row r="1006" ht="12.75">
      <c r="I1006" s="578"/>
    </row>
    <row r="1007" ht="12.75">
      <c r="I1007" s="578"/>
    </row>
    <row r="1008" ht="12.75">
      <c r="I1008" s="578"/>
    </row>
    <row r="1009" ht="12.75">
      <c r="I1009" s="578"/>
    </row>
    <row r="1010" ht="12.75">
      <c r="I1010" s="578"/>
    </row>
    <row r="1011" ht="12.75">
      <c r="I1011" s="578"/>
    </row>
    <row r="1012" ht="12.75">
      <c r="I1012" s="578"/>
    </row>
    <row r="1013" ht="12.75">
      <c r="I1013" s="578"/>
    </row>
    <row r="1014" ht="12.75">
      <c r="I1014" s="578"/>
    </row>
    <row r="1015" ht="12.75">
      <c r="I1015" s="578"/>
    </row>
    <row r="1016" ht="12.75">
      <c r="I1016" s="578"/>
    </row>
    <row r="1017" ht="12.75">
      <c r="I1017" s="578"/>
    </row>
    <row r="1018" ht="12.75">
      <c r="I1018" s="578"/>
    </row>
    <row r="1019" ht="12.75">
      <c r="I1019" s="578"/>
    </row>
    <row r="1020" ht="12.75">
      <c r="I1020" s="578"/>
    </row>
    <row r="1021" ht="12.75">
      <c r="I1021" s="578"/>
    </row>
    <row r="1022" ht="12.75">
      <c r="I1022" s="578"/>
    </row>
    <row r="1023" ht="12.75">
      <c r="I1023" s="578"/>
    </row>
    <row r="1024" ht="12.75">
      <c r="I1024" s="578"/>
    </row>
    <row r="1025" ht="12.75">
      <c r="I1025" s="578"/>
    </row>
    <row r="1026" ht="12.75">
      <c r="I1026" s="578"/>
    </row>
    <row r="1027" ht="12.75">
      <c r="I1027" s="578"/>
    </row>
    <row r="1028" ht="12.75">
      <c r="I1028" s="578"/>
    </row>
    <row r="1029" ht="12.75">
      <c r="I1029" s="578"/>
    </row>
    <row r="1030" ht="12.75">
      <c r="I1030" s="578"/>
    </row>
    <row r="1031" ht="12.75">
      <c r="I1031" s="578"/>
    </row>
    <row r="1032" ht="12.75">
      <c r="I1032" s="578"/>
    </row>
    <row r="1033" ht="12.75">
      <c r="I1033" s="578"/>
    </row>
    <row r="1034" ht="12.75">
      <c r="I1034" s="578"/>
    </row>
    <row r="1035" ht="12.75">
      <c r="I1035" s="578"/>
    </row>
    <row r="1036" ht="12.75">
      <c r="I1036" s="578"/>
    </row>
    <row r="1037" ht="12.75">
      <c r="I1037" s="578"/>
    </row>
    <row r="1038" ht="12.75">
      <c r="I1038" s="578"/>
    </row>
    <row r="1039" ht="12.75">
      <c r="I1039" s="578"/>
    </row>
    <row r="1040" ht="12.75">
      <c r="I1040" s="578"/>
    </row>
    <row r="1041" ht="12.75">
      <c r="I1041" s="578"/>
    </row>
    <row r="1042" ht="12.75">
      <c r="I1042" s="578"/>
    </row>
    <row r="1043" ht="12.75">
      <c r="I1043" s="578"/>
    </row>
    <row r="1044" ht="12.75">
      <c r="I1044" s="578"/>
    </row>
    <row r="1045" ht="12.75">
      <c r="I1045" s="578"/>
    </row>
    <row r="1046" ht="12.75">
      <c r="I1046" s="578"/>
    </row>
    <row r="1047" ht="12.75">
      <c r="I1047" s="578"/>
    </row>
    <row r="1048" ht="12.75">
      <c r="I1048" s="578"/>
    </row>
    <row r="1049" ht="12.75">
      <c r="I1049" s="578"/>
    </row>
    <row r="1050" ht="12.75">
      <c r="I1050" s="578"/>
    </row>
    <row r="1051" ht="12.75">
      <c r="I1051" s="578"/>
    </row>
    <row r="1052" ht="12.75">
      <c r="I1052" s="578"/>
    </row>
    <row r="1053" ht="12.75">
      <c r="I1053" s="578"/>
    </row>
    <row r="1054" ht="12.75">
      <c r="I1054" s="578"/>
    </row>
    <row r="1055" ht="12.75">
      <c r="I1055" s="578"/>
    </row>
    <row r="1056" ht="12.75">
      <c r="I1056" s="578"/>
    </row>
    <row r="1057" ht="12.75">
      <c r="I1057" s="578"/>
    </row>
    <row r="1058" ht="12.75">
      <c r="I1058" s="578"/>
    </row>
    <row r="1059" ht="12.75">
      <c r="I1059" s="578"/>
    </row>
    <row r="1060" ht="12.75">
      <c r="I1060" s="578"/>
    </row>
    <row r="1061" ht="12.75">
      <c r="I1061" s="578"/>
    </row>
    <row r="1062" ht="12.75">
      <c r="I1062" s="578"/>
    </row>
    <row r="1063" ht="12.75">
      <c r="I1063" s="578"/>
    </row>
    <row r="1064" ht="12.75">
      <c r="I1064" s="578"/>
    </row>
    <row r="1065" ht="12.75">
      <c r="I1065" s="578"/>
    </row>
    <row r="1066" ht="12.75">
      <c r="I1066" s="578"/>
    </row>
    <row r="1067" ht="12.75">
      <c r="I1067" s="578"/>
    </row>
    <row r="1068" ht="12.75">
      <c r="I1068" s="578"/>
    </row>
    <row r="1069" ht="12.75">
      <c r="I1069" s="578"/>
    </row>
    <row r="1070" ht="12.75">
      <c r="I1070" s="578"/>
    </row>
    <row r="1071" ht="12.75">
      <c r="I1071" s="578"/>
    </row>
    <row r="1072" ht="12.75">
      <c r="I1072" s="578"/>
    </row>
    <row r="1073" ht="12.75">
      <c r="I1073" s="578"/>
    </row>
    <row r="1074" ht="12.75">
      <c r="I1074" s="578"/>
    </row>
    <row r="1075" ht="12.75">
      <c r="I1075" s="578"/>
    </row>
    <row r="1076" ht="12.75">
      <c r="I1076" s="578"/>
    </row>
    <row r="1077" ht="12.75">
      <c r="I1077" s="578"/>
    </row>
    <row r="1078" ht="12.75">
      <c r="I1078" s="578"/>
    </row>
    <row r="1079" ht="12.75">
      <c r="I1079" s="578"/>
    </row>
    <row r="1080" ht="12.75">
      <c r="I1080" s="578"/>
    </row>
    <row r="1081" ht="12.75">
      <c r="I1081" s="578"/>
    </row>
    <row r="1082" ht="12.75">
      <c r="I1082" s="578"/>
    </row>
    <row r="1083" ht="12.75">
      <c r="I1083" s="578"/>
    </row>
    <row r="1084" ht="12.75">
      <c r="I1084" s="578"/>
    </row>
    <row r="1085" ht="12.75">
      <c r="I1085" s="578"/>
    </row>
    <row r="1086" ht="12.75">
      <c r="I1086" s="578"/>
    </row>
    <row r="1087" ht="12.75">
      <c r="I1087" s="578"/>
    </row>
    <row r="1088" ht="12.75">
      <c r="I1088" s="578"/>
    </row>
    <row r="1089" ht="12.75">
      <c r="I1089" s="578"/>
    </row>
    <row r="1090" ht="12.75">
      <c r="I1090" s="578"/>
    </row>
    <row r="1091" ht="12.75">
      <c r="I1091" s="578"/>
    </row>
    <row r="1092" ht="12.75">
      <c r="I1092" s="578"/>
    </row>
    <row r="1093" ht="12.75">
      <c r="I1093" s="578"/>
    </row>
    <row r="1094" ht="12.75">
      <c r="I1094" s="578"/>
    </row>
    <row r="1095" ht="12.75">
      <c r="I1095" s="578"/>
    </row>
    <row r="1096" ht="12.75">
      <c r="I1096" s="578"/>
    </row>
    <row r="1097" ht="12.75">
      <c r="I1097" s="578"/>
    </row>
    <row r="1098" ht="12.75">
      <c r="I1098" s="578"/>
    </row>
    <row r="1099" ht="12.75">
      <c r="I1099" s="578"/>
    </row>
    <row r="1100" ht="12.75">
      <c r="I1100" s="578"/>
    </row>
    <row r="1101" ht="12.75">
      <c r="I1101" s="578"/>
    </row>
    <row r="1102" ht="12.75">
      <c r="I1102" s="578"/>
    </row>
    <row r="1103" ht="12.75">
      <c r="I1103" s="578"/>
    </row>
    <row r="1104" ht="12.75">
      <c r="I1104" s="578"/>
    </row>
    <row r="1105" ht="12.75">
      <c r="I1105" s="578"/>
    </row>
    <row r="1106" ht="12.75">
      <c r="I1106" s="578"/>
    </row>
    <row r="1107" ht="12.75">
      <c r="I1107" s="578"/>
    </row>
    <row r="1108" ht="12.75">
      <c r="I1108" s="578"/>
    </row>
    <row r="1109" ht="12.75">
      <c r="I1109" s="578"/>
    </row>
    <row r="1110" ht="12.75">
      <c r="I1110" s="578"/>
    </row>
    <row r="1111" ht="12.75">
      <c r="I1111" s="578"/>
    </row>
    <row r="1112" ht="12.75">
      <c r="I1112" s="578"/>
    </row>
    <row r="1113" ht="12.75">
      <c r="I1113" s="578"/>
    </row>
    <row r="1114" ht="12.75">
      <c r="I1114" s="578"/>
    </row>
    <row r="1115" ht="12.75">
      <c r="I1115" s="578"/>
    </row>
    <row r="1116" ht="12.75">
      <c r="I1116" s="578"/>
    </row>
    <row r="1117" ht="12.75">
      <c r="I1117" s="578"/>
    </row>
    <row r="1118" ht="12.75">
      <c r="I1118" s="578"/>
    </row>
    <row r="1119" ht="12.75">
      <c r="I1119" s="578"/>
    </row>
    <row r="1120" ht="12.75">
      <c r="I1120" s="578"/>
    </row>
    <row r="1121" ht="12.75">
      <c r="I1121" s="578"/>
    </row>
    <row r="1122" ht="12.75">
      <c r="I1122" s="578"/>
    </row>
    <row r="1123" ht="12.75">
      <c r="I1123" s="578"/>
    </row>
    <row r="1124" ht="12.75">
      <c r="I1124" s="578"/>
    </row>
    <row r="1125" ht="12.75">
      <c r="I1125" s="578"/>
    </row>
    <row r="1126" ht="12.75">
      <c r="I1126" s="578"/>
    </row>
    <row r="1127" ht="12.75">
      <c r="I1127" s="578"/>
    </row>
    <row r="1128" ht="12.75">
      <c r="I1128" s="578"/>
    </row>
    <row r="1129" ht="12.75">
      <c r="I1129" s="578"/>
    </row>
    <row r="1130" ht="12.75">
      <c r="I1130" s="578"/>
    </row>
    <row r="1131" ht="12.75">
      <c r="I1131" s="578"/>
    </row>
    <row r="1132" ht="12.75">
      <c r="I1132" s="578"/>
    </row>
    <row r="1133" ht="12.75">
      <c r="I1133" s="578"/>
    </row>
    <row r="1134" ht="12.75">
      <c r="I1134" s="578"/>
    </row>
    <row r="1135" ht="12.75">
      <c r="I1135" s="578"/>
    </row>
    <row r="1136" ht="12.75">
      <c r="I1136" s="578"/>
    </row>
    <row r="1137" ht="12.75">
      <c r="I1137" s="578"/>
    </row>
    <row r="1138" ht="12.75">
      <c r="I1138" s="578"/>
    </row>
    <row r="1139" ht="12.75">
      <c r="I1139" s="578"/>
    </row>
    <row r="1140" ht="12.75">
      <c r="I1140" s="578"/>
    </row>
    <row r="1141" ht="12.75">
      <c r="I1141" s="578"/>
    </row>
    <row r="1142" ht="12.75">
      <c r="I1142" s="578"/>
    </row>
    <row r="1143" ht="12.75">
      <c r="I1143" s="578"/>
    </row>
    <row r="1144" ht="12.75">
      <c r="I1144" s="578"/>
    </row>
    <row r="1145" ht="12.75">
      <c r="I1145" s="578"/>
    </row>
    <row r="1146" ht="12.75">
      <c r="I1146" s="578"/>
    </row>
    <row r="1147" ht="12.75">
      <c r="I1147" s="578"/>
    </row>
    <row r="1148" ht="12.75">
      <c r="I1148" s="578"/>
    </row>
    <row r="1149" ht="12.75">
      <c r="I1149" s="578"/>
    </row>
    <row r="1150" ht="12.75">
      <c r="I1150" s="578"/>
    </row>
    <row r="1151" ht="12.75">
      <c r="I1151" s="578"/>
    </row>
    <row r="1152" ht="12.75">
      <c r="I1152" s="578"/>
    </row>
    <row r="1153" ht="12.75">
      <c r="I1153" s="578"/>
    </row>
    <row r="1154" ht="12.75">
      <c r="I1154" s="578"/>
    </row>
    <row r="1155" ht="12.75">
      <c r="I1155" s="578"/>
    </row>
    <row r="1156" ht="12.75">
      <c r="I1156" s="578"/>
    </row>
    <row r="1157" ht="12.75">
      <c r="I1157" s="578"/>
    </row>
    <row r="1158" ht="12.75">
      <c r="I1158" s="578"/>
    </row>
    <row r="1159" ht="12.75">
      <c r="I1159" s="578"/>
    </row>
    <row r="1160" ht="12.75">
      <c r="I1160" s="578"/>
    </row>
    <row r="1161" ht="12.75">
      <c r="I1161" s="578"/>
    </row>
    <row r="1162" ht="12.75">
      <c r="I1162" s="578"/>
    </row>
    <row r="1163" ht="12.75">
      <c r="I1163" s="578"/>
    </row>
    <row r="1164" ht="12.75">
      <c r="I1164" s="578"/>
    </row>
    <row r="1165" ht="12.75">
      <c r="I1165" s="578"/>
    </row>
    <row r="1166" ht="12.75">
      <c r="I1166" s="578"/>
    </row>
    <row r="1167" ht="12.75">
      <c r="I1167" s="578"/>
    </row>
    <row r="1168" ht="12.75">
      <c r="I1168" s="578"/>
    </row>
    <row r="1169" ht="12.75">
      <c r="I1169" s="578"/>
    </row>
    <row r="1170" ht="12.75">
      <c r="I1170" s="578"/>
    </row>
    <row r="1171" ht="12.75">
      <c r="I1171" s="578"/>
    </row>
    <row r="1172" ht="12.75">
      <c r="I1172" s="578"/>
    </row>
    <row r="1173" ht="12.75">
      <c r="I1173" s="578"/>
    </row>
    <row r="1174" ht="12.75">
      <c r="I1174" s="578"/>
    </row>
    <row r="1175" ht="12.75">
      <c r="I1175" s="578"/>
    </row>
    <row r="1176" ht="12.75">
      <c r="I1176" s="578"/>
    </row>
    <row r="1177" ht="12.75">
      <c r="I1177" s="578"/>
    </row>
    <row r="1178" ht="12.75">
      <c r="I1178" s="578"/>
    </row>
    <row r="1179" ht="12.75">
      <c r="I1179" s="578"/>
    </row>
    <row r="1180" ht="12.75">
      <c r="I1180" s="578"/>
    </row>
    <row r="1181" ht="12.75">
      <c r="I1181" s="578"/>
    </row>
    <row r="1182" ht="12.75">
      <c r="I1182" s="578"/>
    </row>
    <row r="1183" ht="12.75">
      <c r="I1183" s="578"/>
    </row>
    <row r="1184" ht="12.75">
      <c r="I1184" s="578"/>
    </row>
    <row r="1185" ht="12.75">
      <c r="I1185" s="578"/>
    </row>
    <row r="1186" ht="12.75">
      <c r="I1186" s="578"/>
    </row>
    <row r="1187" ht="12.75">
      <c r="I1187" s="578"/>
    </row>
    <row r="1188" ht="12.75">
      <c r="I1188" s="578"/>
    </row>
    <row r="1189" ht="12.75">
      <c r="I1189" s="578"/>
    </row>
    <row r="1190" ht="12.75">
      <c r="I1190" s="578"/>
    </row>
    <row r="1191" ht="12.75">
      <c r="I1191" s="578"/>
    </row>
    <row r="1192" ht="12.75">
      <c r="I1192" s="578"/>
    </row>
    <row r="1193" ht="12.75">
      <c r="I1193" s="578"/>
    </row>
    <row r="1194" ht="12.75">
      <c r="I1194" s="578"/>
    </row>
    <row r="1195" ht="12.75">
      <c r="I1195" s="578"/>
    </row>
    <row r="1196" ht="12.75">
      <c r="I1196" s="578"/>
    </row>
    <row r="1197" ht="12.75">
      <c r="I1197" s="578"/>
    </row>
    <row r="1198" ht="12.75">
      <c r="I1198" s="578"/>
    </row>
    <row r="1199" ht="12.75">
      <c r="I1199" s="578"/>
    </row>
    <row r="1200" ht="12.75">
      <c r="I1200" s="578"/>
    </row>
    <row r="1201" ht="12.75">
      <c r="I1201" s="578"/>
    </row>
    <row r="1202" ht="12.75">
      <c r="I1202" s="578"/>
    </row>
    <row r="1203" ht="12.75">
      <c r="I1203" s="578"/>
    </row>
    <row r="1204" ht="12.75">
      <c r="I1204" s="578"/>
    </row>
    <row r="1205" ht="12.75">
      <c r="I1205" s="578"/>
    </row>
    <row r="1206" ht="12.75">
      <c r="I1206" s="578"/>
    </row>
    <row r="1207" ht="12.75">
      <c r="I1207" s="578"/>
    </row>
    <row r="1208" ht="12.75">
      <c r="I1208" s="578"/>
    </row>
    <row r="1209" ht="12.75">
      <c r="I1209" s="578"/>
    </row>
    <row r="1210" ht="12.75">
      <c r="I1210" s="578"/>
    </row>
    <row r="1211" ht="12.75">
      <c r="I1211" s="578"/>
    </row>
    <row r="1212" ht="12.75">
      <c r="I1212" s="578"/>
    </row>
    <row r="1213" ht="12.75">
      <c r="I1213" s="578"/>
    </row>
    <row r="1214" ht="12.75">
      <c r="I1214" s="578"/>
    </row>
    <row r="1215" ht="12.75">
      <c r="I1215" s="578"/>
    </row>
    <row r="1216" ht="12.75">
      <c r="I1216" s="578"/>
    </row>
    <row r="1217" ht="12.75">
      <c r="I1217" s="578"/>
    </row>
    <row r="1218" ht="12.75">
      <c r="I1218" s="578"/>
    </row>
    <row r="1219" ht="12.75">
      <c r="I1219" s="578"/>
    </row>
    <row r="1220" ht="12.75">
      <c r="I1220" s="578"/>
    </row>
    <row r="1221" ht="12.75">
      <c r="I1221" s="578"/>
    </row>
    <row r="1222" ht="12.75">
      <c r="I1222" s="578"/>
    </row>
    <row r="1223" ht="12.75">
      <c r="I1223" s="578"/>
    </row>
    <row r="1224" ht="12.75">
      <c r="I1224" s="578"/>
    </row>
    <row r="1225" ht="12.75">
      <c r="I1225" s="578"/>
    </row>
    <row r="1226" ht="12.75">
      <c r="I1226" s="578"/>
    </row>
    <row r="1227" ht="12.75">
      <c r="I1227" s="578"/>
    </row>
    <row r="1228" ht="12.75">
      <c r="I1228" s="578"/>
    </row>
    <row r="1229" ht="12.75">
      <c r="I1229" s="578"/>
    </row>
    <row r="1230" ht="12.75">
      <c r="I1230" s="578"/>
    </row>
    <row r="1231" ht="12.75">
      <c r="I1231" s="578"/>
    </row>
    <row r="1232" ht="12.75">
      <c r="I1232" s="578"/>
    </row>
    <row r="1233" ht="12.75">
      <c r="I1233" s="578"/>
    </row>
    <row r="1234" ht="12.75">
      <c r="I1234" s="578"/>
    </row>
    <row r="1235" ht="12.75">
      <c r="I1235" s="578"/>
    </row>
    <row r="1236" ht="12.75">
      <c r="I1236" s="578"/>
    </row>
    <row r="1237" ht="12.75">
      <c r="I1237" s="578"/>
    </row>
    <row r="1238" ht="12.75">
      <c r="I1238" s="578"/>
    </row>
    <row r="1239" ht="12.75">
      <c r="I1239" s="578"/>
    </row>
    <row r="1240" ht="12.75">
      <c r="I1240" s="578"/>
    </row>
    <row r="1241" ht="12.75">
      <c r="I1241" s="578"/>
    </row>
    <row r="1242" ht="12.75">
      <c r="I1242" s="578"/>
    </row>
    <row r="1243" ht="12.75">
      <c r="I1243" s="578"/>
    </row>
    <row r="1244" ht="12.75">
      <c r="I1244" s="578"/>
    </row>
    <row r="1245" ht="12.75">
      <c r="I1245" s="578"/>
    </row>
    <row r="1246" ht="12.75">
      <c r="I1246" s="578"/>
    </row>
    <row r="1247" ht="12.75">
      <c r="I1247" s="578"/>
    </row>
    <row r="1248" ht="12.75">
      <c r="I1248" s="578"/>
    </row>
    <row r="1249" ht="12.75">
      <c r="I1249" s="578"/>
    </row>
    <row r="1250" ht="12.75">
      <c r="I1250" s="578"/>
    </row>
    <row r="1251" ht="12.75">
      <c r="I1251" s="578"/>
    </row>
    <row r="1252" ht="12.75">
      <c r="I1252" s="578"/>
    </row>
    <row r="1253" ht="12.75">
      <c r="I1253" s="578"/>
    </row>
    <row r="1254" ht="12.75">
      <c r="I1254" s="578"/>
    </row>
    <row r="1255" ht="12.75">
      <c r="I1255" s="578"/>
    </row>
    <row r="1256" ht="12.75">
      <c r="I1256" s="578"/>
    </row>
    <row r="1257" ht="12.75">
      <c r="I1257" s="578"/>
    </row>
    <row r="1258" ht="12.75">
      <c r="I1258" s="578"/>
    </row>
    <row r="1259" ht="12.75">
      <c r="I1259" s="578"/>
    </row>
    <row r="1260" ht="12.75">
      <c r="I1260" s="578"/>
    </row>
    <row r="1261" ht="12.75">
      <c r="I1261" s="578"/>
    </row>
    <row r="1262" ht="12.75">
      <c r="I1262" s="578"/>
    </row>
    <row r="1263" ht="12.75">
      <c r="I1263" s="578"/>
    </row>
    <row r="1264" ht="12.75">
      <c r="I1264" s="578"/>
    </row>
    <row r="1265" ht="12.75">
      <c r="I1265" s="578"/>
    </row>
    <row r="1266" ht="12.75">
      <c r="I1266" s="578"/>
    </row>
    <row r="1267" ht="12.75">
      <c r="I1267" s="578"/>
    </row>
    <row r="1268" ht="12.75">
      <c r="I1268" s="578"/>
    </row>
    <row r="1269" ht="12.75">
      <c r="I1269" s="578"/>
    </row>
    <row r="1270" ht="12.75">
      <c r="I1270" s="578"/>
    </row>
    <row r="1271" ht="12.75">
      <c r="I1271" s="578"/>
    </row>
    <row r="1272" ht="12.75">
      <c r="I1272" s="578"/>
    </row>
    <row r="1273" ht="12.75">
      <c r="I1273" s="578"/>
    </row>
    <row r="1274" ht="12.75">
      <c r="I1274" s="578"/>
    </row>
    <row r="1275" ht="12.75">
      <c r="I1275" s="578"/>
    </row>
    <row r="1276" ht="12.75">
      <c r="I1276" s="578"/>
    </row>
    <row r="1277" ht="12.75">
      <c r="I1277" s="578"/>
    </row>
    <row r="1278" ht="12.75">
      <c r="I1278" s="578"/>
    </row>
    <row r="1279" ht="12.75">
      <c r="I1279" s="578"/>
    </row>
    <row r="1280" ht="12.75">
      <c r="I1280" s="578"/>
    </row>
    <row r="1281" ht="12.75">
      <c r="I1281" s="578"/>
    </row>
    <row r="1282" ht="12.75">
      <c r="I1282" s="578"/>
    </row>
    <row r="1283" ht="12.75">
      <c r="I1283" s="578"/>
    </row>
    <row r="1284" ht="12.75">
      <c r="I1284" s="578"/>
    </row>
    <row r="1285" ht="12.75">
      <c r="I1285" s="578"/>
    </row>
    <row r="1286" ht="12.75">
      <c r="I1286" s="578"/>
    </row>
    <row r="1287" ht="12.75">
      <c r="I1287" s="578"/>
    </row>
    <row r="1288" ht="12.75">
      <c r="I1288" s="578"/>
    </row>
    <row r="1289" ht="12.75">
      <c r="I1289" s="578"/>
    </row>
    <row r="1290" ht="12.75">
      <c r="I1290" s="578"/>
    </row>
    <row r="1291" ht="12.75">
      <c r="I1291" s="578"/>
    </row>
    <row r="1292" ht="12.75">
      <c r="I1292" s="578"/>
    </row>
    <row r="1293" ht="12.75">
      <c r="I1293" s="578"/>
    </row>
    <row r="1294" ht="12.75">
      <c r="I1294" s="578"/>
    </row>
    <row r="1295" ht="12.75">
      <c r="I1295" s="578"/>
    </row>
    <row r="1296" ht="12.75">
      <c r="I1296" s="578"/>
    </row>
    <row r="1297" ht="12.75">
      <c r="I1297" s="578"/>
    </row>
    <row r="1298" ht="12.75">
      <c r="I1298" s="578"/>
    </row>
    <row r="1299" ht="12.75">
      <c r="I1299" s="578"/>
    </row>
    <row r="1300" ht="12.75">
      <c r="I1300" s="578"/>
    </row>
    <row r="1301" ht="12.75">
      <c r="I1301" s="578"/>
    </row>
    <row r="1302" ht="12.75">
      <c r="I1302" s="578"/>
    </row>
    <row r="1303" ht="12.75">
      <c r="I1303" s="578"/>
    </row>
    <row r="1304" ht="12.75">
      <c r="I1304" s="578"/>
    </row>
    <row r="1305" ht="12.75">
      <c r="I1305" s="578"/>
    </row>
    <row r="1306" ht="12.75">
      <c r="I1306" s="578"/>
    </row>
    <row r="1307" ht="12.75">
      <c r="I1307" s="578"/>
    </row>
    <row r="1308" ht="12.75">
      <c r="I1308" s="578"/>
    </row>
    <row r="1309" ht="12.75">
      <c r="I1309" s="578"/>
    </row>
    <row r="1310" ht="12.75">
      <c r="I1310" s="578"/>
    </row>
    <row r="1311" ht="12.75">
      <c r="I1311" s="578"/>
    </row>
    <row r="1312" ht="12.75">
      <c r="I1312" s="578"/>
    </row>
    <row r="1313" ht="12.75">
      <c r="I1313" s="578"/>
    </row>
    <row r="1314" ht="12.75">
      <c r="I1314" s="578"/>
    </row>
    <row r="1315" ht="12.75">
      <c r="I1315" s="578"/>
    </row>
    <row r="1316" ht="12.75">
      <c r="I1316" s="578"/>
    </row>
    <row r="1317" ht="12.75">
      <c r="I1317" s="578"/>
    </row>
    <row r="1318" ht="12.75">
      <c r="I1318" s="578"/>
    </row>
    <row r="1319" ht="12.75">
      <c r="I1319" s="578"/>
    </row>
    <row r="1320" ht="12.75">
      <c r="I1320" s="578"/>
    </row>
    <row r="1321" ht="12.75">
      <c r="I1321" s="578"/>
    </row>
    <row r="1322" ht="12.75">
      <c r="I1322" s="578"/>
    </row>
    <row r="1323" ht="12.75">
      <c r="I1323" s="578"/>
    </row>
    <row r="1324" ht="12.75">
      <c r="I1324" s="578"/>
    </row>
    <row r="1325" ht="12.75">
      <c r="I1325" s="578"/>
    </row>
    <row r="1326" ht="12.75">
      <c r="I1326" s="578"/>
    </row>
    <row r="1327" ht="12.75">
      <c r="I1327" s="578"/>
    </row>
    <row r="1328" ht="12.75">
      <c r="I1328" s="578"/>
    </row>
    <row r="1329" ht="12.75">
      <c r="I1329" s="578"/>
    </row>
    <row r="1330" ht="12.75">
      <c r="I1330" s="578"/>
    </row>
    <row r="1331" ht="12.75">
      <c r="I1331" s="578"/>
    </row>
    <row r="1332" ht="12.75">
      <c r="I1332" s="578"/>
    </row>
    <row r="1333" ht="12.75">
      <c r="I1333" s="578"/>
    </row>
    <row r="1334" ht="12.75">
      <c r="I1334" s="578"/>
    </row>
    <row r="1335" ht="12.75">
      <c r="I1335" s="578"/>
    </row>
    <row r="1336" ht="12.75">
      <c r="I1336" s="578"/>
    </row>
    <row r="1337" ht="12.75">
      <c r="I1337" s="578"/>
    </row>
    <row r="1338" ht="12.75">
      <c r="I1338" s="578"/>
    </row>
    <row r="1339" ht="12.75">
      <c r="I1339" s="578"/>
    </row>
    <row r="1340" ht="12.75">
      <c r="I1340" s="578"/>
    </row>
    <row r="1341" ht="12.75">
      <c r="I1341" s="578"/>
    </row>
    <row r="1342" ht="12.75">
      <c r="I1342" s="578"/>
    </row>
    <row r="1343" ht="12.75">
      <c r="I1343" s="578"/>
    </row>
    <row r="1344" ht="12.75">
      <c r="I1344" s="578"/>
    </row>
    <row r="1345" ht="12.75">
      <c r="I1345" s="578"/>
    </row>
    <row r="1346" ht="12.75">
      <c r="I1346" s="578"/>
    </row>
    <row r="1347" ht="12.75">
      <c r="I1347" s="578"/>
    </row>
    <row r="1348" ht="12.75">
      <c r="I1348" s="578"/>
    </row>
    <row r="1349" ht="12.75">
      <c r="I1349" s="578"/>
    </row>
    <row r="1350" ht="12.75">
      <c r="I1350" s="578"/>
    </row>
    <row r="1351" ht="12.75">
      <c r="I1351" s="578"/>
    </row>
    <row r="1352" ht="12.75">
      <c r="I1352" s="578"/>
    </row>
    <row r="1353" ht="12.75">
      <c r="I1353" s="578"/>
    </row>
    <row r="1354" ht="12.75">
      <c r="I1354" s="578"/>
    </row>
    <row r="1355" ht="12.75">
      <c r="I1355" s="578"/>
    </row>
    <row r="1356" ht="12.75">
      <c r="I1356" s="578"/>
    </row>
    <row r="1357" ht="12.75">
      <c r="I1357" s="578"/>
    </row>
    <row r="1358" ht="12.75">
      <c r="I1358" s="578"/>
    </row>
    <row r="1359" ht="12.75">
      <c r="I1359" s="578"/>
    </row>
    <row r="1360" ht="12.75">
      <c r="I1360" s="578"/>
    </row>
    <row r="1361" ht="12.75">
      <c r="I1361" s="578"/>
    </row>
    <row r="1362" ht="12.75">
      <c r="I1362" s="578"/>
    </row>
    <row r="1363" ht="12.75">
      <c r="I1363" s="578"/>
    </row>
    <row r="1364" ht="12.75">
      <c r="I1364" s="578"/>
    </row>
    <row r="1365" ht="12.75">
      <c r="I1365" s="578"/>
    </row>
    <row r="1366" ht="12.75">
      <c r="I1366" s="578"/>
    </row>
    <row r="1367" ht="12.75">
      <c r="I1367" s="578"/>
    </row>
    <row r="1368" ht="12.75">
      <c r="I1368" s="578"/>
    </row>
    <row r="1369" ht="12.75">
      <c r="I1369" s="578"/>
    </row>
    <row r="1370" ht="12.75">
      <c r="I1370" s="578"/>
    </row>
    <row r="1371" ht="12.75">
      <c r="I1371" s="578"/>
    </row>
    <row r="1372" ht="12.75">
      <c r="I1372" s="578"/>
    </row>
    <row r="1373" ht="12.75">
      <c r="I1373" s="578"/>
    </row>
    <row r="1374" ht="12.75">
      <c r="I1374" s="578"/>
    </row>
    <row r="1375" ht="12.75">
      <c r="I1375" s="578"/>
    </row>
    <row r="1376" ht="12.75">
      <c r="I1376" s="578"/>
    </row>
    <row r="1377" ht="12.75">
      <c r="I1377" s="578"/>
    </row>
    <row r="1378" ht="12.75">
      <c r="I1378" s="578"/>
    </row>
    <row r="1379" ht="12.75">
      <c r="I1379" s="578"/>
    </row>
    <row r="1380" ht="12.75">
      <c r="I1380" s="578"/>
    </row>
    <row r="1381" ht="12.75">
      <c r="I1381" s="578"/>
    </row>
    <row r="1382" ht="12.75">
      <c r="I1382" s="578"/>
    </row>
    <row r="1383" ht="12.75">
      <c r="I1383" s="578"/>
    </row>
    <row r="1384" ht="12.75">
      <c r="I1384" s="578"/>
    </row>
    <row r="1385" ht="12.75">
      <c r="I1385" s="578"/>
    </row>
    <row r="1386" ht="12.75">
      <c r="I1386" s="578"/>
    </row>
    <row r="1387" ht="12.75">
      <c r="I1387" s="578"/>
    </row>
    <row r="1388" ht="12.75">
      <c r="I1388" s="578"/>
    </row>
    <row r="1389" ht="12.75">
      <c r="I1389" s="578"/>
    </row>
    <row r="1390" ht="12.75">
      <c r="I1390" s="578"/>
    </row>
    <row r="1391" ht="12.75">
      <c r="I1391" s="578"/>
    </row>
    <row r="1392" ht="12.75">
      <c r="I1392" s="578"/>
    </row>
    <row r="1393" ht="12.75">
      <c r="I1393" s="578"/>
    </row>
    <row r="1394" ht="12.75">
      <c r="I1394" s="578"/>
    </row>
    <row r="1395" ht="12.75">
      <c r="I1395" s="578"/>
    </row>
    <row r="1396" ht="12.75">
      <c r="I1396" s="578"/>
    </row>
    <row r="1397" ht="12.75">
      <c r="I1397" s="578"/>
    </row>
    <row r="1398" ht="12.75">
      <c r="I1398" s="578"/>
    </row>
    <row r="1399" ht="12.75">
      <c r="I1399" s="578"/>
    </row>
    <row r="1400" ht="12.75">
      <c r="I1400" s="578"/>
    </row>
    <row r="1401" ht="12.75">
      <c r="I1401" s="578"/>
    </row>
    <row r="1402" ht="12.75">
      <c r="I1402" s="578"/>
    </row>
    <row r="1403" ht="12.75">
      <c r="I1403" s="578"/>
    </row>
    <row r="1404" ht="12.75">
      <c r="I1404" s="578"/>
    </row>
    <row r="1405" ht="12.75">
      <c r="I1405" s="578"/>
    </row>
    <row r="1406" ht="12.75">
      <c r="I1406" s="578"/>
    </row>
    <row r="1407" ht="12.75">
      <c r="I1407" s="578"/>
    </row>
    <row r="1408" ht="12.75">
      <c r="I1408" s="578"/>
    </row>
    <row r="1409" ht="12.75">
      <c r="I1409" s="578"/>
    </row>
    <row r="1410" ht="12.75">
      <c r="I1410" s="578"/>
    </row>
    <row r="1411" ht="12.75">
      <c r="I1411" s="578"/>
    </row>
    <row r="1412" ht="12.75">
      <c r="I1412" s="578"/>
    </row>
    <row r="1413" ht="12.75">
      <c r="I1413" s="578"/>
    </row>
    <row r="1414" ht="12.75">
      <c r="I1414" s="578"/>
    </row>
    <row r="1415" ht="12.75">
      <c r="I1415" s="578"/>
    </row>
    <row r="1416" ht="12.75">
      <c r="I1416" s="578"/>
    </row>
    <row r="1417" ht="12.75">
      <c r="I1417" s="578"/>
    </row>
    <row r="1418" ht="12.75">
      <c r="I1418" s="578"/>
    </row>
    <row r="1419" ht="12.75">
      <c r="I1419" s="578"/>
    </row>
    <row r="1420" ht="12.75">
      <c r="I1420" s="578"/>
    </row>
    <row r="1421" ht="12.75">
      <c r="I1421" s="578"/>
    </row>
    <row r="1422" ht="12.75">
      <c r="I1422" s="578"/>
    </row>
    <row r="1423" ht="12.75">
      <c r="I1423" s="578"/>
    </row>
    <row r="1424" ht="12.75">
      <c r="I1424" s="578"/>
    </row>
    <row r="1425" ht="12.75">
      <c r="I1425" s="578"/>
    </row>
    <row r="1426" ht="12.75">
      <c r="I1426" s="578"/>
    </row>
    <row r="1427" ht="12.75">
      <c r="I1427" s="578"/>
    </row>
    <row r="1428" ht="12.75">
      <c r="I1428" s="578"/>
    </row>
    <row r="1429" ht="12.75">
      <c r="I1429" s="578"/>
    </row>
    <row r="1430" ht="12.75">
      <c r="I1430" s="578"/>
    </row>
    <row r="1431" ht="12.75">
      <c r="I1431" s="578"/>
    </row>
    <row r="1432" ht="12.75">
      <c r="I1432" s="578"/>
    </row>
    <row r="1433" ht="12.75">
      <c r="I1433" s="578"/>
    </row>
    <row r="1434" ht="12.75">
      <c r="I1434" s="578"/>
    </row>
    <row r="1435" ht="12.75">
      <c r="I1435" s="578"/>
    </row>
    <row r="1436" ht="12.75">
      <c r="I1436" s="578"/>
    </row>
    <row r="1437" ht="12.75">
      <c r="I1437" s="578"/>
    </row>
    <row r="1438" ht="12.75">
      <c r="I1438" s="578"/>
    </row>
    <row r="1439" ht="12.75">
      <c r="I1439" s="578"/>
    </row>
    <row r="1440" ht="12.75">
      <c r="I1440" s="578"/>
    </row>
    <row r="1441" ht="12.75">
      <c r="I1441" s="578"/>
    </row>
    <row r="1442" ht="12.75">
      <c r="I1442" s="578"/>
    </row>
    <row r="1443" ht="12.75">
      <c r="I1443" s="578"/>
    </row>
    <row r="1444" ht="12.75">
      <c r="I1444" s="578"/>
    </row>
    <row r="1445" ht="12.75">
      <c r="I1445" s="578"/>
    </row>
    <row r="1446" ht="12.75">
      <c r="I1446" s="578"/>
    </row>
    <row r="1447" ht="12.75">
      <c r="I1447" s="578"/>
    </row>
    <row r="1448" ht="12.75">
      <c r="I1448" s="578"/>
    </row>
    <row r="1449" ht="12.75">
      <c r="I1449" s="578"/>
    </row>
    <row r="1450" ht="12.75">
      <c r="I1450" s="578"/>
    </row>
    <row r="1451" ht="12.75">
      <c r="I1451" s="578"/>
    </row>
    <row r="1452" ht="12.75">
      <c r="I1452" s="578"/>
    </row>
    <row r="1453" ht="12.75">
      <c r="I1453" s="578"/>
    </row>
    <row r="1454" ht="12.75">
      <c r="I1454" s="578"/>
    </row>
    <row r="1455" ht="12.75">
      <c r="I1455" s="578"/>
    </row>
    <row r="1456" ht="12.75">
      <c r="I1456" s="578"/>
    </row>
    <row r="1457" ht="12.75">
      <c r="I1457" s="578"/>
    </row>
    <row r="1458" ht="12.75">
      <c r="I1458" s="578"/>
    </row>
    <row r="1459" ht="12.75">
      <c r="I1459" s="578"/>
    </row>
    <row r="1460" ht="12.75">
      <c r="I1460" s="578"/>
    </row>
    <row r="1461" ht="12.75">
      <c r="I1461" s="578"/>
    </row>
    <row r="1462" ht="12.75">
      <c r="I1462" s="578"/>
    </row>
    <row r="1463" ht="12.75">
      <c r="I1463" s="578"/>
    </row>
    <row r="1464" ht="12.75">
      <c r="I1464" s="578"/>
    </row>
    <row r="1465" ht="12.75">
      <c r="I1465" s="578"/>
    </row>
    <row r="1466" ht="12.75">
      <c r="I1466" s="578"/>
    </row>
    <row r="1467" ht="12.75">
      <c r="I1467" s="578"/>
    </row>
    <row r="1468" ht="12.75">
      <c r="I1468" s="578"/>
    </row>
    <row r="1469" ht="12.75">
      <c r="I1469" s="578"/>
    </row>
    <row r="1470" ht="12.75">
      <c r="I1470" s="578"/>
    </row>
    <row r="1471" ht="12.75">
      <c r="I1471" s="578"/>
    </row>
    <row r="1472" ht="12.75">
      <c r="I1472" s="578"/>
    </row>
    <row r="1473" ht="12.75">
      <c r="I1473" s="578"/>
    </row>
    <row r="1474" ht="12.75">
      <c r="I1474" s="578"/>
    </row>
    <row r="1475" ht="12.75">
      <c r="I1475" s="578"/>
    </row>
    <row r="1476" ht="12.75">
      <c r="I1476" s="578"/>
    </row>
    <row r="1477" ht="12.75">
      <c r="I1477" s="578"/>
    </row>
    <row r="1478" ht="12.75">
      <c r="I1478" s="578"/>
    </row>
    <row r="1479" ht="12.75">
      <c r="I1479" s="578"/>
    </row>
    <row r="1480" ht="12.75">
      <c r="I1480" s="578"/>
    </row>
    <row r="1481" ht="12.75">
      <c r="I1481" s="578"/>
    </row>
    <row r="1482" ht="12.75">
      <c r="I1482" s="578"/>
    </row>
    <row r="1483" ht="12.75">
      <c r="I1483" s="578"/>
    </row>
    <row r="1484" ht="12.75">
      <c r="I1484" s="578"/>
    </row>
    <row r="1485" ht="12.75">
      <c r="I1485" s="578"/>
    </row>
    <row r="1486" ht="12.75">
      <c r="I1486" s="578"/>
    </row>
    <row r="1487" ht="12.75">
      <c r="I1487" s="578"/>
    </row>
    <row r="1488" ht="12.75">
      <c r="I1488" s="578"/>
    </row>
    <row r="1489" ht="12.75">
      <c r="I1489" s="578"/>
    </row>
    <row r="1490" ht="12.75">
      <c r="I1490" s="578"/>
    </row>
    <row r="1491" ht="12.75">
      <c r="I1491" s="578"/>
    </row>
    <row r="1492" ht="12.75">
      <c r="I1492" s="578"/>
    </row>
    <row r="1493" ht="12.75">
      <c r="I1493" s="578"/>
    </row>
    <row r="1494" ht="12.75">
      <c r="I1494" s="578"/>
    </row>
    <row r="1495" ht="12.75">
      <c r="I1495" s="578"/>
    </row>
    <row r="1496" ht="12.75">
      <c r="I1496" s="578"/>
    </row>
    <row r="1497" ht="12.75">
      <c r="I1497" s="578"/>
    </row>
    <row r="1498" ht="12.75">
      <c r="I1498" s="578"/>
    </row>
    <row r="1499" ht="12.75">
      <c r="I1499" s="578"/>
    </row>
    <row r="1500" ht="12.75">
      <c r="I1500" s="578"/>
    </row>
    <row r="1501" ht="12.75">
      <c r="I1501" s="578"/>
    </row>
    <row r="1502" ht="12.75">
      <c r="I1502" s="578"/>
    </row>
    <row r="1503" ht="12.75">
      <c r="I1503" s="578"/>
    </row>
    <row r="1504" ht="12.75">
      <c r="I1504" s="578"/>
    </row>
    <row r="1505" ht="12.75">
      <c r="I1505" s="578"/>
    </row>
    <row r="1506" ht="12.75">
      <c r="I1506" s="578"/>
    </row>
    <row r="1507" ht="12.75">
      <c r="I1507" s="578"/>
    </row>
    <row r="1508" ht="12.75">
      <c r="I1508" s="578"/>
    </row>
    <row r="1509" ht="12.75">
      <c r="I1509" s="578"/>
    </row>
    <row r="1510" ht="12.75">
      <c r="I1510" s="578"/>
    </row>
    <row r="1511" ht="12.75">
      <c r="I1511" s="578"/>
    </row>
    <row r="1512" ht="12.75">
      <c r="I1512" s="578"/>
    </row>
    <row r="1513" ht="12.75">
      <c r="I1513" s="578"/>
    </row>
    <row r="1514" ht="12.75">
      <c r="I1514" s="578"/>
    </row>
    <row r="1515" ht="12.75">
      <c r="I1515" s="578"/>
    </row>
    <row r="1516" ht="12.75">
      <c r="I1516" s="578"/>
    </row>
    <row r="1517" ht="12.75">
      <c r="I1517" s="578"/>
    </row>
    <row r="1518" ht="12.75">
      <c r="I1518" s="578"/>
    </row>
    <row r="1519" ht="12.75">
      <c r="I1519" s="578"/>
    </row>
    <row r="1520" ht="12.75">
      <c r="I1520" s="578"/>
    </row>
    <row r="1521" ht="12.75">
      <c r="I1521" s="578"/>
    </row>
    <row r="1522" ht="12.75">
      <c r="I1522" s="578"/>
    </row>
    <row r="1523" ht="12.75">
      <c r="I1523" s="578"/>
    </row>
    <row r="1524" ht="12.75">
      <c r="I1524" s="578"/>
    </row>
    <row r="1525" ht="12.75">
      <c r="I1525" s="578"/>
    </row>
    <row r="1526" ht="12.75">
      <c r="I1526" s="578"/>
    </row>
    <row r="1527" ht="12.75">
      <c r="I1527" s="578"/>
    </row>
    <row r="1528" ht="12.75">
      <c r="I1528" s="578"/>
    </row>
    <row r="1529" ht="12.75">
      <c r="I1529" s="578"/>
    </row>
    <row r="1530" ht="12.75">
      <c r="I1530" s="578"/>
    </row>
    <row r="1531" ht="12.75">
      <c r="I1531" s="578"/>
    </row>
    <row r="1532" ht="12.75">
      <c r="I1532" s="578"/>
    </row>
    <row r="1533" ht="12.75">
      <c r="I1533" s="578"/>
    </row>
    <row r="1534" ht="12.75">
      <c r="I1534" s="578"/>
    </row>
    <row r="1535" ht="12.75">
      <c r="I1535" s="578"/>
    </row>
    <row r="1536" ht="12.75">
      <c r="I1536" s="578"/>
    </row>
    <row r="1537" ht="12.75">
      <c r="I1537" s="578"/>
    </row>
    <row r="1538" ht="12.75">
      <c r="I1538" s="578"/>
    </row>
    <row r="1539" ht="12.75">
      <c r="I1539" s="578"/>
    </row>
    <row r="1540" ht="12.75">
      <c r="I1540" s="578"/>
    </row>
    <row r="1541" ht="12.75">
      <c r="I1541" s="578"/>
    </row>
    <row r="1542" ht="12.75">
      <c r="I1542" s="578"/>
    </row>
    <row r="1543" ht="12.75">
      <c r="I1543" s="578"/>
    </row>
    <row r="1544" ht="12.75">
      <c r="I1544" s="578"/>
    </row>
    <row r="1545" ht="12.75">
      <c r="I1545" s="578"/>
    </row>
    <row r="1546" ht="12.75">
      <c r="I1546" s="578"/>
    </row>
    <row r="1547" ht="12.75">
      <c r="I1547" s="578"/>
    </row>
    <row r="1548" ht="12.75">
      <c r="I1548" s="578"/>
    </row>
    <row r="1549" ht="12.75">
      <c r="I1549" s="578"/>
    </row>
    <row r="1550" ht="12.75">
      <c r="I1550" s="578"/>
    </row>
    <row r="1551" ht="12.75">
      <c r="I1551" s="578"/>
    </row>
    <row r="1552" ht="12.75">
      <c r="I1552" s="578"/>
    </row>
    <row r="1553" ht="12.75">
      <c r="I1553" s="578"/>
    </row>
    <row r="1554" ht="12.75">
      <c r="I1554" s="578"/>
    </row>
    <row r="1555" ht="12.75">
      <c r="I1555" s="578"/>
    </row>
    <row r="1556" ht="12.75">
      <c r="I1556" s="578"/>
    </row>
    <row r="1557" ht="12.75">
      <c r="I1557" s="578"/>
    </row>
    <row r="1558" ht="12.75">
      <c r="I1558" s="578"/>
    </row>
    <row r="1559" ht="12.75">
      <c r="I1559" s="578"/>
    </row>
    <row r="1560" ht="12.75">
      <c r="I1560" s="578"/>
    </row>
    <row r="1561" ht="12.75">
      <c r="I1561" s="578"/>
    </row>
    <row r="1562" ht="12.75">
      <c r="I1562" s="578"/>
    </row>
    <row r="1563" ht="12.75">
      <c r="I1563" s="578"/>
    </row>
    <row r="1564" ht="12.75">
      <c r="I1564" s="578"/>
    </row>
    <row r="1565" ht="12.75">
      <c r="I1565" s="578"/>
    </row>
    <row r="1566" ht="12.75">
      <c r="I1566" s="578"/>
    </row>
    <row r="1567" ht="12.75">
      <c r="I1567" s="578"/>
    </row>
    <row r="1568" ht="12.75">
      <c r="I1568" s="578"/>
    </row>
    <row r="1569" ht="12.75">
      <c r="I1569" s="578"/>
    </row>
    <row r="1570" ht="12.75">
      <c r="I1570" s="578"/>
    </row>
    <row r="1571" ht="12.75">
      <c r="I1571" s="578"/>
    </row>
    <row r="1572" ht="12.75">
      <c r="I1572" s="578"/>
    </row>
    <row r="1573" ht="12.75">
      <c r="I1573" s="578"/>
    </row>
    <row r="1574" ht="12.75">
      <c r="I1574" s="578"/>
    </row>
    <row r="1575" ht="12.75">
      <c r="I1575" s="578"/>
    </row>
    <row r="1576" ht="12.75">
      <c r="I1576" s="578"/>
    </row>
    <row r="1577" ht="12.75">
      <c r="I1577" s="578"/>
    </row>
    <row r="1578" ht="12.75">
      <c r="I1578" s="578"/>
    </row>
    <row r="1579" ht="12.75">
      <c r="I1579" s="578"/>
    </row>
    <row r="1580" ht="12.75">
      <c r="I1580" s="578"/>
    </row>
    <row r="1581" ht="12.75">
      <c r="I1581" s="578"/>
    </row>
    <row r="1582" ht="12.75">
      <c r="I1582" s="578"/>
    </row>
    <row r="1583" ht="12.75">
      <c r="I1583" s="578"/>
    </row>
    <row r="1584" ht="12.75">
      <c r="I1584" s="578"/>
    </row>
    <row r="1585" ht="12.75">
      <c r="I1585" s="578"/>
    </row>
    <row r="1586" ht="12.75">
      <c r="I1586" s="578"/>
    </row>
    <row r="1587" ht="12.75">
      <c r="I1587" s="578"/>
    </row>
    <row r="1588" ht="12.75">
      <c r="I1588" s="578"/>
    </row>
    <row r="1589" ht="12.75">
      <c r="I1589" s="578"/>
    </row>
    <row r="1590" ht="12.75">
      <c r="I1590" s="578"/>
    </row>
    <row r="1591" ht="12.75">
      <c r="I1591" s="578"/>
    </row>
    <row r="1592" ht="12.75">
      <c r="I1592" s="578"/>
    </row>
    <row r="1593" ht="12.75">
      <c r="I1593" s="578"/>
    </row>
    <row r="1594" ht="12.75">
      <c r="I1594" s="578"/>
    </row>
    <row r="1595" ht="12.75">
      <c r="I1595" s="578"/>
    </row>
    <row r="1596" ht="12.75">
      <c r="I1596" s="578"/>
    </row>
    <row r="1597" ht="12.75">
      <c r="I1597" s="578"/>
    </row>
    <row r="1598" ht="12.75">
      <c r="I1598" s="578"/>
    </row>
    <row r="1599" ht="12.75">
      <c r="I1599" s="578"/>
    </row>
    <row r="1600" ht="12.75">
      <c r="I1600" s="578"/>
    </row>
    <row r="1601" ht="12.75">
      <c r="I1601" s="578"/>
    </row>
    <row r="1602" ht="12.75">
      <c r="I1602" s="578"/>
    </row>
    <row r="1603" ht="12.75">
      <c r="I1603" s="578"/>
    </row>
    <row r="1604" ht="12.75">
      <c r="I1604" s="578"/>
    </row>
    <row r="1605" ht="12.75">
      <c r="I1605" s="578"/>
    </row>
    <row r="1606" ht="12.75">
      <c r="I1606" s="578"/>
    </row>
    <row r="1607" ht="12.75">
      <c r="I1607" s="578"/>
    </row>
    <row r="1608" ht="12.75">
      <c r="I1608" s="578"/>
    </row>
    <row r="1609" ht="12.75">
      <c r="I1609" s="578"/>
    </row>
    <row r="1610" ht="12.75">
      <c r="I1610" s="578"/>
    </row>
    <row r="1611" ht="12.75">
      <c r="I1611" s="578"/>
    </row>
    <row r="1612" ht="12.75">
      <c r="I1612" s="578"/>
    </row>
    <row r="1613" ht="12.75">
      <c r="I1613" s="578"/>
    </row>
    <row r="1614" ht="12.75">
      <c r="I1614" s="578"/>
    </row>
    <row r="1615" ht="12.75">
      <c r="I1615" s="578"/>
    </row>
    <row r="1616" ht="12.75">
      <c r="I1616" s="578"/>
    </row>
    <row r="1617" ht="12.75">
      <c r="I1617" s="578"/>
    </row>
    <row r="1618" ht="12.75">
      <c r="I1618" s="578"/>
    </row>
    <row r="1619" ht="12.75">
      <c r="I1619" s="578"/>
    </row>
    <row r="1620" ht="12.75">
      <c r="I1620" s="578"/>
    </row>
    <row r="1621" ht="12.75">
      <c r="I1621" s="578"/>
    </row>
    <row r="1622" ht="12.75">
      <c r="I1622" s="578"/>
    </row>
    <row r="1623" ht="12.75">
      <c r="I1623" s="578"/>
    </row>
    <row r="1624" ht="12.75">
      <c r="I1624" s="578"/>
    </row>
    <row r="1625" ht="12.75">
      <c r="I1625" s="578"/>
    </row>
    <row r="1626" ht="12.75">
      <c r="I1626" s="578"/>
    </row>
    <row r="1627" ht="12.75">
      <c r="I1627" s="578"/>
    </row>
    <row r="1628" ht="12.75">
      <c r="I1628" s="578"/>
    </row>
    <row r="1629" ht="12.75">
      <c r="I1629" s="578"/>
    </row>
    <row r="1630" ht="12.75">
      <c r="I1630" s="578"/>
    </row>
    <row r="1631" ht="12.75">
      <c r="I1631" s="578"/>
    </row>
    <row r="1632" ht="12.75">
      <c r="I1632" s="578"/>
    </row>
    <row r="1633" ht="12.75">
      <c r="I1633" s="578"/>
    </row>
    <row r="1634" ht="12.75">
      <c r="I1634" s="578"/>
    </row>
    <row r="1635" ht="12.75">
      <c r="I1635" s="578"/>
    </row>
    <row r="1636" ht="12.75">
      <c r="I1636" s="578"/>
    </row>
    <row r="1637" ht="12.75">
      <c r="I1637" s="578"/>
    </row>
    <row r="1638" ht="12.75">
      <c r="I1638" s="578"/>
    </row>
    <row r="1639" ht="12.75">
      <c r="I1639" s="578"/>
    </row>
    <row r="1640" ht="12.75">
      <c r="I1640" s="578"/>
    </row>
    <row r="1641" ht="12.75">
      <c r="I1641" s="578"/>
    </row>
    <row r="1642" ht="12.75">
      <c r="I1642" s="578"/>
    </row>
    <row r="1643" ht="12.75">
      <c r="I1643" s="578"/>
    </row>
    <row r="1644" ht="12.75">
      <c r="I1644" s="578"/>
    </row>
    <row r="1645" ht="12.75">
      <c r="I1645" s="578"/>
    </row>
    <row r="1646" ht="12.75">
      <c r="I1646" s="578"/>
    </row>
    <row r="1647" ht="12.75">
      <c r="I1647" s="578"/>
    </row>
    <row r="1648" ht="12.75">
      <c r="I1648" s="578"/>
    </row>
    <row r="1649" ht="12.75">
      <c r="I1649" s="578"/>
    </row>
    <row r="1650" ht="12.75">
      <c r="I1650" s="578"/>
    </row>
    <row r="1651" ht="12.75">
      <c r="I1651" s="578"/>
    </row>
    <row r="1652" ht="12.75">
      <c r="I1652" s="578"/>
    </row>
    <row r="1653" ht="12.75">
      <c r="I1653" s="578"/>
    </row>
    <row r="1654" ht="12.75">
      <c r="I1654" s="578"/>
    </row>
    <row r="1655" ht="12.75">
      <c r="I1655" s="578"/>
    </row>
    <row r="1656" ht="12.75">
      <c r="I1656" s="578"/>
    </row>
    <row r="1657" ht="12.75">
      <c r="I1657" s="578"/>
    </row>
    <row r="1658" ht="12.75">
      <c r="I1658" s="578"/>
    </row>
    <row r="1659" ht="12.75">
      <c r="I1659" s="578"/>
    </row>
    <row r="1660" ht="12.75">
      <c r="I1660" s="578"/>
    </row>
    <row r="1661" ht="12.75">
      <c r="I1661" s="578"/>
    </row>
    <row r="1662" ht="12.75">
      <c r="I1662" s="578"/>
    </row>
    <row r="1663" ht="12.75">
      <c r="I1663" s="578"/>
    </row>
    <row r="1664" ht="12.75">
      <c r="I1664" s="578"/>
    </row>
    <row r="1665" ht="12.75">
      <c r="I1665" s="578"/>
    </row>
    <row r="1666" ht="12.75">
      <c r="I1666" s="578"/>
    </row>
    <row r="1667" ht="12.75">
      <c r="I1667" s="578"/>
    </row>
    <row r="1668" ht="12.75">
      <c r="I1668" s="578"/>
    </row>
    <row r="1669" ht="12.75">
      <c r="I1669" s="578"/>
    </row>
    <row r="1670" ht="12.75">
      <c r="I1670" s="578"/>
    </row>
    <row r="1671" ht="12.75">
      <c r="I1671" s="578"/>
    </row>
    <row r="1672" ht="12.75">
      <c r="I1672" s="578"/>
    </row>
    <row r="1673" ht="12.75">
      <c r="I1673" s="578"/>
    </row>
    <row r="1674" ht="12.75">
      <c r="I1674" s="578"/>
    </row>
    <row r="1675" ht="12.75">
      <c r="I1675" s="578"/>
    </row>
    <row r="1676" ht="12.75">
      <c r="I1676" s="578"/>
    </row>
    <row r="1677" ht="12.75">
      <c r="I1677" s="578"/>
    </row>
    <row r="1678" ht="12.75">
      <c r="I1678" s="578"/>
    </row>
    <row r="1679" ht="12.75">
      <c r="I1679" s="578"/>
    </row>
    <row r="1680" ht="12.75">
      <c r="I1680" s="578"/>
    </row>
    <row r="1681" ht="12.75">
      <c r="I1681" s="578"/>
    </row>
    <row r="1682" ht="12.75">
      <c r="I1682" s="578"/>
    </row>
    <row r="1683" ht="12.75">
      <c r="I1683" s="578"/>
    </row>
    <row r="1684" ht="12.75">
      <c r="I1684" s="578"/>
    </row>
    <row r="1685" ht="12.75">
      <c r="I1685" s="578"/>
    </row>
    <row r="1686" ht="12.75">
      <c r="I1686" s="578"/>
    </row>
    <row r="1687" ht="12.75">
      <c r="I1687" s="578"/>
    </row>
    <row r="1688" ht="12.75">
      <c r="I1688" s="578"/>
    </row>
    <row r="1689" ht="12.75">
      <c r="I1689" s="578"/>
    </row>
    <row r="1690" ht="12.75">
      <c r="I1690" s="578"/>
    </row>
    <row r="1691" ht="12.75">
      <c r="I1691" s="578"/>
    </row>
    <row r="1692" ht="12.75">
      <c r="I1692" s="578"/>
    </row>
    <row r="1693" ht="12.75">
      <c r="I1693" s="578"/>
    </row>
    <row r="1694" ht="12.75">
      <c r="I1694" s="578"/>
    </row>
    <row r="1695" ht="12.75">
      <c r="I1695" s="578"/>
    </row>
    <row r="1696" ht="12.75">
      <c r="I1696" s="578"/>
    </row>
    <row r="1697" ht="12.75">
      <c r="I1697" s="578"/>
    </row>
    <row r="1698" ht="12.75">
      <c r="I1698" s="578"/>
    </row>
    <row r="1699" ht="12.75">
      <c r="I1699" s="578"/>
    </row>
    <row r="1700" ht="12.75">
      <c r="I1700" s="578"/>
    </row>
    <row r="1701" ht="12.75">
      <c r="I1701" s="578"/>
    </row>
    <row r="1702" ht="12.75">
      <c r="I1702" s="578"/>
    </row>
    <row r="1703" ht="12.75">
      <c r="I1703" s="578"/>
    </row>
    <row r="1704" ht="12.75">
      <c r="I1704" s="578"/>
    </row>
    <row r="1705" ht="12.75">
      <c r="I1705" s="578"/>
    </row>
    <row r="1706" ht="12.75">
      <c r="I1706" s="578"/>
    </row>
    <row r="1707" ht="12.75">
      <c r="I1707" s="578"/>
    </row>
    <row r="1708" ht="12.75">
      <c r="I1708" s="578"/>
    </row>
    <row r="1709" ht="12.75">
      <c r="I1709" s="578"/>
    </row>
    <row r="1710" ht="12.75">
      <c r="I1710" s="578"/>
    </row>
    <row r="1711" ht="12.75">
      <c r="I1711" s="578"/>
    </row>
    <row r="1712" ht="12.75">
      <c r="I1712" s="578"/>
    </row>
    <row r="1713" ht="12.75">
      <c r="I1713" s="578"/>
    </row>
    <row r="1714" ht="12.75">
      <c r="I1714" s="578"/>
    </row>
    <row r="1715" ht="12.75">
      <c r="I1715" s="578"/>
    </row>
    <row r="1716" ht="12.75">
      <c r="I1716" s="578"/>
    </row>
    <row r="1717" ht="12.75">
      <c r="I1717" s="578"/>
    </row>
    <row r="1718" ht="12.75">
      <c r="I1718" s="578"/>
    </row>
    <row r="1719" ht="12.75">
      <c r="I1719" s="578"/>
    </row>
    <row r="1720" ht="12.75">
      <c r="I1720" s="578"/>
    </row>
    <row r="1721" ht="12.75">
      <c r="I1721" s="578"/>
    </row>
    <row r="1722" ht="12.75">
      <c r="I1722" s="578"/>
    </row>
    <row r="1723" ht="12.75">
      <c r="I1723" s="578"/>
    </row>
    <row r="1724" ht="12.75">
      <c r="I1724" s="578"/>
    </row>
    <row r="1725" ht="12.75">
      <c r="I1725" s="578"/>
    </row>
    <row r="1726" ht="12.75">
      <c r="I1726" s="578"/>
    </row>
    <row r="1727" ht="12.75">
      <c r="I1727" s="578"/>
    </row>
    <row r="1728" ht="12.75">
      <c r="I1728" s="578"/>
    </row>
    <row r="1729" ht="12.75">
      <c r="I1729" s="578"/>
    </row>
    <row r="1730" ht="12.75">
      <c r="I1730" s="578"/>
    </row>
    <row r="1731" ht="12.75">
      <c r="I1731" s="578"/>
    </row>
    <row r="1732" ht="12.75">
      <c r="I1732" s="578"/>
    </row>
    <row r="1733" ht="12.75">
      <c r="I1733" s="578"/>
    </row>
    <row r="1734" ht="12.75">
      <c r="I1734" s="578"/>
    </row>
    <row r="1735" ht="12.75">
      <c r="I1735" s="578"/>
    </row>
    <row r="1736" ht="12.75">
      <c r="I1736" s="578"/>
    </row>
    <row r="1737" ht="12.75">
      <c r="I1737" s="578"/>
    </row>
    <row r="1738" ht="12.75">
      <c r="I1738" s="578"/>
    </row>
    <row r="1739" ht="12.75">
      <c r="I1739" s="578"/>
    </row>
    <row r="1740" ht="12.75">
      <c r="I1740" s="578"/>
    </row>
    <row r="1741" ht="12.75">
      <c r="I1741" s="578"/>
    </row>
    <row r="1742" ht="12.75">
      <c r="I1742" s="578"/>
    </row>
    <row r="1743" ht="12.75">
      <c r="I1743" s="578"/>
    </row>
    <row r="1744" ht="12.75">
      <c r="I1744" s="578"/>
    </row>
    <row r="1745" ht="12.75">
      <c r="I1745" s="578"/>
    </row>
    <row r="1746" ht="12.75">
      <c r="I1746" s="578"/>
    </row>
    <row r="1747" ht="12.75">
      <c r="I1747" s="578"/>
    </row>
    <row r="1748" ht="12.75">
      <c r="I1748" s="578"/>
    </row>
    <row r="1749" ht="12.75">
      <c r="I1749" s="578"/>
    </row>
    <row r="1750" ht="12.75">
      <c r="I1750" s="578"/>
    </row>
    <row r="1751" ht="12.75">
      <c r="I1751" s="578"/>
    </row>
    <row r="1752" ht="12.75">
      <c r="I1752" s="578"/>
    </row>
    <row r="1753" ht="12.75">
      <c r="I1753" s="578"/>
    </row>
    <row r="1754" ht="12.75">
      <c r="I1754" s="578"/>
    </row>
    <row r="1755" ht="12.75">
      <c r="I1755" s="578"/>
    </row>
    <row r="1756" ht="12.75">
      <c r="I1756" s="578"/>
    </row>
    <row r="1757" ht="12.75">
      <c r="I1757" s="578"/>
    </row>
    <row r="1758" ht="12.75">
      <c r="I1758" s="578"/>
    </row>
    <row r="1759" ht="12.75">
      <c r="I1759" s="578"/>
    </row>
    <row r="1760" ht="12.75">
      <c r="I1760" s="578"/>
    </row>
    <row r="1761" ht="12.75">
      <c r="I1761" s="578"/>
    </row>
    <row r="1762" ht="12.75">
      <c r="I1762" s="578"/>
    </row>
    <row r="1763" ht="12.75">
      <c r="I1763" s="578"/>
    </row>
    <row r="1764" ht="12.75">
      <c r="I1764" s="578"/>
    </row>
    <row r="1765" ht="12.75">
      <c r="I1765" s="578"/>
    </row>
    <row r="1766" ht="12.75">
      <c r="I1766" s="578"/>
    </row>
    <row r="1767" ht="12.75">
      <c r="I1767" s="578"/>
    </row>
    <row r="1768" ht="12.75">
      <c r="I1768" s="578"/>
    </row>
    <row r="1769" ht="12.75">
      <c r="I1769" s="578"/>
    </row>
    <row r="1770" ht="12.75">
      <c r="I1770" s="578"/>
    </row>
    <row r="1771" ht="12.75">
      <c r="I1771" s="578"/>
    </row>
    <row r="1772" ht="12.75">
      <c r="I1772" s="578"/>
    </row>
    <row r="1773" ht="12.75">
      <c r="I1773" s="578"/>
    </row>
    <row r="1774" ht="12.75">
      <c r="I1774" s="578"/>
    </row>
    <row r="1775" ht="12.75">
      <c r="I1775" s="578"/>
    </row>
    <row r="1776" ht="12.75">
      <c r="I1776" s="578"/>
    </row>
    <row r="1777" ht="12.75">
      <c r="I1777" s="578"/>
    </row>
    <row r="1778" ht="12.75">
      <c r="I1778" s="578"/>
    </row>
    <row r="1779" ht="12.75">
      <c r="I1779" s="578"/>
    </row>
    <row r="1780" ht="12.75">
      <c r="I1780" s="578"/>
    </row>
    <row r="1781" ht="12.75">
      <c r="I1781" s="578"/>
    </row>
    <row r="1782" ht="12.75">
      <c r="I1782" s="578"/>
    </row>
    <row r="1783" ht="12.75">
      <c r="I1783" s="578"/>
    </row>
    <row r="1784" ht="12.75">
      <c r="I1784" s="578"/>
    </row>
    <row r="1785" ht="12.75">
      <c r="I1785" s="578"/>
    </row>
    <row r="1786" ht="12.75">
      <c r="I1786" s="578"/>
    </row>
    <row r="1787" ht="12.75">
      <c r="I1787" s="578"/>
    </row>
    <row r="1788" ht="12.75">
      <c r="I1788" s="578"/>
    </row>
    <row r="1789" ht="12.75">
      <c r="I1789" s="578"/>
    </row>
    <row r="1790" ht="12.75">
      <c r="I1790" s="578"/>
    </row>
    <row r="1791" ht="12.75">
      <c r="I1791" s="578"/>
    </row>
    <row r="1792" ht="12.75">
      <c r="I1792" s="578"/>
    </row>
    <row r="1793" ht="12.75">
      <c r="I1793" s="578"/>
    </row>
    <row r="1794" ht="12.75">
      <c r="I1794" s="578"/>
    </row>
    <row r="1795" ht="12.75">
      <c r="I1795" s="578"/>
    </row>
    <row r="1796" ht="12.75">
      <c r="I1796" s="578"/>
    </row>
    <row r="1797" ht="12.75">
      <c r="I1797" s="578"/>
    </row>
    <row r="1798" ht="12.75">
      <c r="I1798" s="578"/>
    </row>
    <row r="1799" ht="12.75">
      <c r="I1799" s="578"/>
    </row>
    <row r="1800" ht="12.75">
      <c r="I1800" s="578"/>
    </row>
    <row r="1801" ht="12.75">
      <c r="I1801" s="578"/>
    </row>
    <row r="1802" ht="12.75">
      <c r="I1802" s="578"/>
    </row>
    <row r="1803" ht="12.75">
      <c r="I1803" s="578"/>
    </row>
    <row r="1804" ht="12.75">
      <c r="I1804" s="578"/>
    </row>
    <row r="1805" ht="12.75">
      <c r="I1805" s="578"/>
    </row>
    <row r="1806" ht="12.75">
      <c r="I1806" s="578"/>
    </row>
    <row r="1807" ht="12.75">
      <c r="I1807" s="578"/>
    </row>
    <row r="1808" ht="12.75">
      <c r="I1808" s="578"/>
    </row>
    <row r="1809" ht="12.75">
      <c r="I1809" s="578"/>
    </row>
    <row r="1810" ht="12.75">
      <c r="I1810" s="578"/>
    </row>
    <row r="1811" ht="12.75">
      <c r="I1811" s="578"/>
    </row>
    <row r="1812" ht="12.75">
      <c r="I1812" s="578"/>
    </row>
    <row r="1813" ht="12.75">
      <c r="I1813" s="578"/>
    </row>
    <row r="1814" ht="12.75">
      <c r="I1814" s="578"/>
    </row>
    <row r="1815" ht="12.75">
      <c r="I1815" s="578"/>
    </row>
    <row r="1816" ht="12.75">
      <c r="I1816" s="578"/>
    </row>
    <row r="1817" ht="12.75">
      <c r="I1817" s="578"/>
    </row>
    <row r="1818" ht="12.75">
      <c r="I1818" s="578"/>
    </row>
    <row r="1819" ht="12.75">
      <c r="I1819" s="578"/>
    </row>
    <row r="1820" ht="12.75">
      <c r="I1820" s="578"/>
    </row>
    <row r="1821" ht="12.75">
      <c r="I1821" s="578"/>
    </row>
    <row r="1822" ht="12.75">
      <c r="I1822" s="578"/>
    </row>
    <row r="1823" ht="12.75">
      <c r="I1823" s="578"/>
    </row>
    <row r="1824" ht="12.75">
      <c r="I1824" s="578"/>
    </row>
    <row r="1825" ht="12.75">
      <c r="I1825" s="578"/>
    </row>
    <row r="1826" ht="12.75">
      <c r="I1826" s="578"/>
    </row>
    <row r="1827" ht="12.75">
      <c r="I1827" s="578"/>
    </row>
    <row r="1828" ht="12.75">
      <c r="I1828" s="578"/>
    </row>
    <row r="1829" ht="12.75">
      <c r="I1829" s="578"/>
    </row>
    <row r="1830" ht="12.75">
      <c r="I1830" s="578"/>
    </row>
    <row r="1831" ht="12.75">
      <c r="I1831" s="578"/>
    </row>
    <row r="1832" ht="12.75">
      <c r="I1832" s="578"/>
    </row>
    <row r="1833" ht="12.75">
      <c r="I1833" s="578"/>
    </row>
    <row r="1834" ht="12.75">
      <c r="I1834" s="578"/>
    </row>
    <row r="1835" ht="12.75">
      <c r="I1835" s="578"/>
    </row>
    <row r="1836" ht="12.75">
      <c r="I1836" s="578"/>
    </row>
    <row r="1837" ht="12.75">
      <c r="I1837" s="578"/>
    </row>
    <row r="1838" ht="12.75">
      <c r="I1838" s="578"/>
    </row>
    <row r="1839" ht="12.75">
      <c r="I1839" s="578"/>
    </row>
    <row r="1840" ht="12.75">
      <c r="I1840" s="578"/>
    </row>
    <row r="1841" ht="12.75">
      <c r="I1841" s="578"/>
    </row>
    <row r="1842" ht="12.75">
      <c r="I1842" s="578"/>
    </row>
    <row r="1843" ht="12.75">
      <c r="I1843" s="578"/>
    </row>
    <row r="1844" ht="12.75">
      <c r="I1844" s="578"/>
    </row>
    <row r="1845" ht="12.75">
      <c r="I1845" s="578"/>
    </row>
    <row r="1846" ht="12.75">
      <c r="I1846" s="578"/>
    </row>
    <row r="1847" ht="12.75">
      <c r="I1847" s="578"/>
    </row>
    <row r="1848" ht="12.75">
      <c r="I1848" s="578"/>
    </row>
    <row r="1849" ht="12.75">
      <c r="I1849" s="578"/>
    </row>
    <row r="1850" ht="12.75">
      <c r="I1850" s="578"/>
    </row>
    <row r="1851" ht="12.75">
      <c r="I1851" s="578"/>
    </row>
    <row r="1852" ht="12.75">
      <c r="I1852" s="578"/>
    </row>
    <row r="1853" ht="12.75">
      <c r="I1853" s="578"/>
    </row>
    <row r="1854" ht="12.75">
      <c r="I1854" s="578"/>
    </row>
    <row r="1855" ht="12.75">
      <c r="I1855" s="578"/>
    </row>
    <row r="1856" ht="12.75">
      <c r="I1856" s="578"/>
    </row>
    <row r="1857" ht="12.75">
      <c r="I1857" s="578"/>
    </row>
    <row r="1858" ht="12.75">
      <c r="I1858" s="578"/>
    </row>
  </sheetData>
  <sheetProtection sheet="1" objects="1" scenarios="1" formatCells="0" formatColumns="0" formatRows="0"/>
  <mergeCells count="184">
    <mergeCell ref="D68:N68"/>
    <mergeCell ref="D69:N69"/>
    <mergeCell ref="D70:N70"/>
    <mergeCell ref="D158:G158"/>
    <mergeCell ref="D159:G159"/>
    <mergeCell ref="D160:G160"/>
    <mergeCell ref="L72:N72"/>
    <mergeCell ref="D72:K72"/>
    <mergeCell ref="D117:K117"/>
    <mergeCell ref="L117:N117"/>
    <mergeCell ref="D152:G152"/>
    <mergeCell ref="D153:G153"/>
    <mergeCell ref="D154:G154"/>
    <mergeCell ref="D155:G155"/>
    <mergeCell ref="D156:G156"/>
    <mergeCell ref="D157:G157"/>
    <mergeCell ref="D146:G146"/>
    <mergeCell ref="D147:G147"/>
    <mergeCell ref="D148:G148"/>
    <mergeCell ref="D149:G149"/>
    <mergeCell ref="D150:G150"/>
    <mergeCell ref="D151:G151"/>
    <mergeCell ref="D138:F138"/>
    <mergeCell ref="D139:F139"/>
    <mergeCell ref="D140:F140"/>
    <mergeCell ref="D142:N142"/>
    <mergeCell ref="D144:G144"/>
    <mergeCell ref="D145:G145"/>
    <mergeCell ref="D132:F132"/>
    <mergeCell ref="D133:F133"/>
    <mergeCell ref="D134:F134"/>
    <mergeCell ref="D135:F135"/>
    <mergeCell ref="D136:F136"/>
    <mergeCell ref="D137:F137"/>
    <mergeCell ref="D126:F126"/>
    <mergeCell ref="D127:F127"/>
    <mergeCell ref="D128:F128"/>
    <mergeCell ref="D129:F129"/>
    <mergeCell ref="D130:F130"/>
    <mergeCell ref="D131:F131"/>
    <mergeCell ref="D121:F121"/>
    <mergeCell ref="D122:F122"/>
    <mergeCell ref="D123:F123"/>
    <mergeCell ref="D124:F124"/>
    <mergeCell ref="D125:F125"/>
    <mergeCell ref="D91:F91"/>
    <mergeCell ref="D92:F92"/>
    <mergeCell ref="D109:G109"/>
    <mergeCell ref="D98:G98"/>
    <mergeCell ref="D99:G99"/>
    <mergeCell ref="D86:F86"/>
    <mergeCell ref="D87:F87"/>
    <mergeCell ref="D89:F89"/>
    <mergeCell ref="D83:F83"/>
    <mergeCell ref="D84:F84"/>
    <mergeCell ref="D85:F85"/>
    <mergeCell ref="D77:F77"/>
    <mergeCell ref="D78:F78"/>
    <mergeCell ref="D79:F79"/>
    <mergeCell ref="D96:N96"/>
    <mergeCell ref="D80:F80"/>
    <mergeCell ref="D81:F81"/>
    <mergeCell ref="D82:F82"/>
    <mergeCell ref="D93:F93"/>
    <mergeCell ref="D94:F94"/>
    <mergeCell ref="D88:F88"/>
    <mergeCell ref="D33:N33"/>
    <mergeCell ref="H35:I35"/>
    <mergeCell ref="D75:F75"/>
    <mergeCell ref="D76:F76"/>
    <mergeCell ref="D65:N65"/>
    <mergeCell ref="D90:F90"/>
    <mergeCell ref="M35:N35"/>
    <mergeCell ref="H36:L36"/>
    <mergeCell ref="M39:N39"/>
    <mergeCell ref="M42:N42"/>
    <mergeCell ref="D100:G100"/>
    <mergeCell ref="D101:G101"/>
    <mergeCell ref="D102:G102"/>
    <mergeCell ref="D103:G103"/>
    <mergeCell ref="D110:G110"/>
    <mergeCell ref="D111:G111"/>
    <mergeCell ref="D112:G112"/>
    <mergeCell ref="D113:G113"/>
    <mergeCell ref="D114:G114"/>
    <mergeCell ref="D104:G104"/>
    <mergeCell ref="D105:G105"/>
    <mergeCell ref="D106:G106"/>
    <mergeCell ref="D107:G107"/>
    <mergeCell ref="D108:G108"/>
    <mergeCell ref="E4:F4"/>
    <mergeCell ref="G4:H4"/>
    <mergeCell ref="I4:J4"/>
    <mergeCell ref="K4:L4"/>
    <mergeCell ref="M4:N4"/>
    <mergeCell ref="D6:N6"/>
    <mergeCell ref="B2:D4"/>
    <mergeCell ref="G2:H2"/>
    <mergeCell ref="I2:J2"/>
    <mergeCell ref="K2:L2"/>
    <mergeCell ref="M2:N2"/>
    <mergeCell ref="E3:F3"/>
    <mergeCell ref="G3:H3"/>
    <mergeCell ref="I3:J3"/>
    <mergeCell ref="K3:L3"/>
    <mergeCell ref="M3:N3"/>
    <mergeCell ref="E11:I11"/>
    <mergeCell ref="J11:N11"/>
    <mergeCell ref="J12:N12"/>
    <mergeCell ref="E12:I12"/>
    <mergeCell ref="D10:N10"/>
    <mergeCell ref="H37:L37"/>
    <mergeCell ref="D14:N14"/>
    <mergeCell ref="E15:I15"/>
    <mergeCell ref="J15:N15"/>
    <mergeCell ref="E16:I16"/>
    <mergeCell ref="J16:N16"/>
    <mergeCell ref="D18:N18"/>
    <mergeCell ref="E19:I19"/>
    <mergeCell ref="J19:N19"/>
    <mergeCell ref="E20:I20"/>
    <mergeCell ref="J20:N20"/>
    <mergeCell ref="D22:N22"/>
    <mergeCell ref="E23:I23"/>
    <mergeCell ref="J23:N23"/>
    <mergeCell ref="E24:I24"/>
    <mergeCell ref="J24:N24"/>
    <mergeCell ref="E30:N30"/>
    <mergeCell ref="F46:N46"/>
    <mergeCell ref="F47:N47"/>
    <mergeCell ref="F48:N48"/>
    <mergeCell ref="F49:N49"/>
    <mergeCell ref="F50:N50"/>
    <mergeCell ref="D52:N52"/>
    <mergeCell ref="E53:H53"/>
    <mergeCell ref="I53:K53"/>
    <mergeCell ref="L53:N53"/>
    <mergeCell ref="E54:H54"/>
    <mergeCell ref="I54:K54"/>
    <mergeCell ref="L54:N54"/>
    <mergeCell ref="E55:H55"/>
    <mergeCell ref="I55:K55"/>
    <mergeCell ref="L55:N55"/>
    <mergeCell ref="E56:H56"/>
    <mergeCell ref="I56:K56"/>
    <mergeCell ref="L56:N56"/>
    <mergeCell ref="E57:H57"/>
    <mergeCell ref="I57:K57"/>
    <mergeCell ref="L57:N57"/>
    <mergeCell ref="E58:H58"/>
    <mergeCell ref="I58:K58"/>
    <mergeCell ref="L58:N58"/>
    <mergeCell ref="E59:H59"/>
    <mergeCell ref="I59:K59"/>
    <mergeCell ref="L59:N59"/>
    <mergeCell ref="E60:H60"/>
    <mergeCell ref="I60:K60"/>
    <mergeCell ref="L60:N60"/>
    <mergeCell ref="E61:H61"/>
    <mergeCell ref="I61:K61"/>
    <mergeCell ref="L61:N61"/>
    <mergeCell ref="E62:H62"/>
    <mergeCell ref="I62:K62"/>
    <mergeCell ref="L62:N62"/>
    <mergeCell ref="U4:V4"/>
    <mergeCell ref="W4:X4"/>
    <mergeCell ref="Y4:Z4"/>
    <mergeCell ref="S2:T2"/>
    <mergeCell ref="E63:H63"/>
    <mergeCell ref="I63:K63"/>
    <mergeCell ref="L63:N63"/>
    <mergeCell ref="U2:V2"/>
    <mergeCell ref="W2:X2"/>
    <mergeCell ref="E31:N31"/>
    <mergeCell ref="D67:N67"/>
    <mergeCell ref="D73:N73"/>
    <mergeCell ref="D118:N118"/>
    <mergeCell ref="D119:N119"/>
    <mergeCell ref="Y2:Z2"/>
    <mergeCell ref="S3:T3"/>
    <mergeCell ref="U3:V3"/>
    <mergeCell ref="W3:X3"/>
    <mergeCell ref="Y3:Z3"/>
    <mergeCell ref="S4:T4"/>
  </mergeCells>
  <conditionalFormatting sqref="E31">
    <cfRule type="cellIs" priority="3" dxfId="10" operator="equal" stopIfTrue="1">
      <formula>EUconst_ERR_Mandatory_g</formula>
    </cfRule>
  </conditionalFormatting>
  <conditionalFormatting sqref="E30">
    <cfRule type="cellIs" priority="1" dxfId="10" operator="equal" stopIfTrue="1">
      <formula>EUconst_ERR_Mandatory_ef</formula>
    </cfRule>
  </conditionalFormatting>
  <hyperlinks>
    <hyperlink ref="G2:H2" location="JUMP_Coverpage_Top" display="JUMP_Coverpage_Top"/>
  </hyperlink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9"/>
    <pageSetUpPr fitToPage="1"/>
  </sheetPr>
  <dimension ref="A1:N30"/>
  <sheetViews>
    <sheetView zoomScalePageLayoutView="0" workbookViewId="0" topLeftCell="A1">
      <pane ySplit="3" topLeftCell="A4" activePane="bottomLeft" state="frozen"/>
      <selection pane="topLeft" activeCell="F43" sqref="F43"/>
      <selection pane="bottomLeft" activeCell="B5" sqref="B5"/>
    </sheetView>
  </sheetViews>
  <sheetFormatPr defaultColWidth="9.140625" defaultRowHeight="12.75"/>
  <cols>
    <col min="1" max="1" width="2.7109375" style="18" customWidth="1"/>
    <col min="2" max="3" width="4.7109375" style="18" customWidth="1"/>
    <col min="4" max="13" width="12.7109375" style="18" customWidth="1"/>
    <col min="14" max="14" width="4.7109375" style="18" customWidth="1"/>
    <col min="15" max="16384" width="9.140625" style="18" customWidth="1"/>
  </cols>
  <sheetData>
    <row r="1" spans="1:13" ht="13.5" thickBot="1">
      <c r="A1" s="913" t="str">
        <f>Translations!$B$926</f>
        <v>I.  
Données spécifiquement exigées par l'État membre</v>
      </c>
      <c r="B1" s="914"/>
      <c r="C1" s="915"/>
      <c r="D1" s="201" t="str">
        <f>Translations!$B$276</f>
        <v>Zone de navigation:</v>
      </c>
      <c r="E1" s="200"/>
      <c r="F1" s="715" t="str">
        <f>Translations!$B$290</f>
        <v>Table des matières</v>
      </c>
      <c r="G1" s="702"/>
      <c r="H1" s="702"/>
      <c r="I1" s="702"/>
      <c r="J1" s="702" t="str">
        <f>Translations!$B$277</f>
        <v>Feuille suivante</v>
      </c>
      <c r="K1" s="702"/>
      <c r="L1" s="702"/>
      <c r="M1" s="709"/>
    </row>
    <row r="2" spans="1:13" ht="13.5" thickBot="1">
      <c r="A2" s="916"/>
      <c r="B2" s="917"/>
      <c r="C2" s="918"/>
      <c r="D2" s="702" t="str">
        <f>Translations!$B$279</f>
        <v>Début de feuille</v>
      </c>
      <c r="E2" s="750"/>
      <c r="F2" s="698"/>
      <c r="G2" s="698"/>
      <c r="H2" s="698"/>
      <c r="I2" s="698"/>
      <c r="J2" s="698"/>
      <c r="K2" s="698"/>
      <c r="L2" s="698"/>
      <c r="M2" s="698"/>
    </row>
    <row r="3" spans="1:13" ht="13.5" thickBot="1">
      <c r="A3" s="919"/>
      <c r="B3" s="920"/>
      <c r="C3" s="921"/>
      <c r="D3" s="702" t="str">
        <f>Translations!$B$280</f>
        <v>Fin de feuille</v>
      </c>
      <c r="E3" s="702"/>
      <c r="F3" s="698"/>
      <c r="G3" s="698"/>
      <c r="H3" s="698"/>
      <c r="I3" s="698"/>
      <c r="J3" s="698"/>
      <c r="K3" s="698"/>
      <c r="L3" s="698"/>
      <c r="M3" s="698"/>
    </row>
    <row r="4" spans="1:14" ht="12.75">
      <c r="A4" s="5"/>
      <c r="B4" s="6"/>
      <c r="C4" s="7"/>
      <c r="D4" s="7"/>
      <c r="E4" s="8"/>
      <c r="F4" s="8"/>
      <c r="G4" s="8"/>
      <c r="H4" s="5"/>
      <c r="I4" s="5"/>
      <c r="J4" s="5"/>
      <c r="K4" s="5"/>
      <c r="L4" s="9"/>
      <c r="M4" s="9"/>
      <c r="N4" s="9"/>
    </row>
    <row r="5" spans="1:14" ht="23.25" customHeight="1">
      <c r="A5" s="5"/>
      <c r="B5" s="11" t="s">
        <v>350</v>
      </c>
      <c r="C5" s="11" t="str">
        <f>Translations!$B$927</f>
        <v>Feuille «Msspecific - RENSEIGNEMENTS SUPPLÉMENTAIRES EXIGÉS PAR L'ÉTAT MEMBRE</v>
      </c>
      <c r="D5" s="11"/>
      <c r="E5" s="11"/>
      <c r="F5" s="11"/>
      <c r="G5" s="11"/>
      <c r="H5" s="11"/>
      <c r="I5" s="11"/>
      <c r="J5" s="11"/>
      <c r="K5" s="11"/>
      <c r="L5" s="9"/>
      <c r="M5" s="9"/>
      <c r="N5" s="9"/>
    </row>
    <row r="6" spans="1:14" ht="12.75">
      <c r="A6" s="5"/>
      <c r="B6" s="5"/>
      <c r="C6" s="5"/>
      <c r="D6" s="5"/>
      <c r="E6" s="5"/>
      <c r="F6" s="5"/>
      <c r="G6" s="5"/>
      <c r="H6" s="5"/>
      <c r="I6" s="5"/>
      <c r="J6" s="5"/>
      <c r="K6" s="5"/>
      <c r="L6" s="9"/>
      <c r="M6" s="9"/>
      <c r="N6" s="9"/>
    </row>
    <row r="7" spans="1:14" ht="15.75">
      <c r="A7" s="5"/>
      <c r="B7" s="12" t="s">
        <v>42</v>
      </c>
      <c r="C7" s="13" t="str">
        <f>Translations!$B$928</f>
        <v>À définir par l'État membre</v>
      </c>
      <c r="D7" s="13"/>
      <c r="E7" s="13"/>
      <c r="F7" s="13"/>
      <c r="G7" s="13"/>
      <c r="H7" s="13"/>
      <c r="I7" s="13"/>
      <c r="J7" s="13"/>
      <c r="K7" s="13"/>
      <c r="L7" s="13"/>
      <c r="M7" s="13"/>
      <c r="N7" s="9"/>
    </row>
    <row r="8" spans="1:14" ht="4.5" customHeight="1">
      <c r="A8" s="5"/>
      <c r="B8" s="5"/>
      <c r="C8" s="5"/>
      <c r="D8" s="5"/>
      <c r="E8" s="5"/>
      <c r="F8" s="5"/>
      <c r="G8" s="5"/>
      <c r="H8" s="5"/>
      <c r="I8" s="5"/>
      <c r="J8" s="5"/>
      <c r="K8" s="5"/>
      <c r="L8" s="9"/>
      <c r="M8" s="9"/>
      <c r="N8" s="9"/>
    </row>
    <row r="30" spans="3:13" ht="12.75">
      <c r="C30" s="1071" t="str">
        <f>Translations!$B$336</f>
        <v>&lt;&lt;&lt; Cliquer ici pour passer à la feuille suivante &gt;&gt;&gt; </v>
      </c>
      <c r="D30" s="1072"/>
      <c r="E30" s="1072"/>
      <c r="F30" s="1072"/>
      <c r="G30" s="1072"/>
      <c r="H30" s="1071"/>
      <c r="I30" s="1071"/>
      <c r="J30" s="1071"/>
      <c r="K30" s="1071"/>
      <c r="L30" s="1071"/>
      <c r="M30" s="1071"/>
    </row>
  </sheetData>
  <sheetProtection sheet="1" objects="1" scenarios="1" formatCells="0" formatColumns="0" formatRows="0"/>
  <mergeCells count="16">
    <mergeCell ref="J3:K3"/>
    <mergeCell ref="L3:M3"/>
    <mergeCell ref="C30:M30"/>
    <mergeCell ref="J1:K1"/>
    <mergeCell ref="L1:M1"/>
    <mergeCell ref="D2:E2"/>
    <mergeCell ref="F2:G2"/>
    <mergeCell ref="H2:I2"/>
    <mergeCell ref="J2:K2"/>
    <mergeCell ref="L2:M2"/>
    <mergeCell ref="A1:C3"/>
    <mergeCell ref="F1:G1"/>
    <mergeCell ref="H1:I1"/>
    <mergeCell ref="D3:E3"/>
    <mergeCell ref="F3:G3"/>
    <mergeCell ref="H3:I3"/>
  </mergeCells>
  <hyperlinks>
    <hyperlink ref="F1:G1" location="JUMP_TOC_Home" display="Table of contents"/>
    <hyperlink ref="D2:E2" location="JUMP_I_Top" display="Top of sheet"/>
    <hyperlink ref="D3:E3" location="JUMP_I_Bottom" display="End of sheet"/>
    <hyperlink ref="J1:K1" location="JUMP_J_Top" display="Next sheet"/>
    <hyperlink ref="C30:M30" location="JUMP_J_Top" display="JUMP_J_Top"/>
  </hyperlinks>
  <printOptions/>
  <pageMargins left="0.7874015748031497" right="0.7874015748031497" top="0.7874015748031497" bottom="0.7874015748031497" header="0.5118110236220472" footer="0.5118110236220472"/>
  <pageSetup fitToHeight="10" fitToWidth="1" horizontalDpi="600" verticalDpi="600" orientation="portrait" paperSize="9" scale="61"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tabColor indexed="9"/>
    <pageSetUpPr fitToPage="1"/>
  </sheetPr>
  <dimension ref="A1:N30"/>
  <sheetViews>
    <sheetView zoomScalePageLayoutView="0" workbookViewId="0" topLeftCell="A1">
      <pane ySplit="3" topLeftCell="A4" activePane="bottomLeft" state="frozen"/>
      <selection pane="topLeft" activeCell="F43" sqref="F43"/>
      <selection pane="bottomLeft" activeCell="C10" sqref="C10:M10"/>
    </sheetView>
  </sheetViews>
  <sheetFormatPr defaultColWidth="9.140625" defaultRowHeight="12.75"/>
  <cols>
    <col min="1" max="1" width="2.7109375" style="515" customWidth="1"/>
    <col min="2" max="3" width="4.7109375" style="515" customWidth="1"/>
    <col min="4" max="13" width="12.7109375" style="515" customWidth="1"/>
    <col min="14" max="14" width="4.7109375" style="515" customWidth="1"/>
    <col min="15" max="16384" width="9.140625" style="515" customWidth="1"/>
  </cols>
  <sheetData>
    <row r="1" spans="1:14" s="18" customFormat="1" ht="13.5" thickBot="1">
      <c r="A1" s="913" t="str">
        <f>Translations!$B$929</f>
        <v>J.  
Remarques</v>
      </c>
      <c r="B1" s="914"/>
      <c r="C1" s="915"/>
      <c r="D1" s="201" t="str">
        <f>Translations!$B$276</f>
        <v>Zone de navigation:</v>
      </c>
      <c r="E1" s="200"/>
      <c r="F1" s="715" t="str">
        <f>Translations!$B$290</f>
        <v>Table des matières</v>
      </c>
      <c r="G1" s="702"/>
      <c r="H1" s="702" t="str">
        <f>Translations!$B$291</f>
        <v>Feuille précédente</v>
      </c>
      <c r="I1" s="702"/>
      <c r="J1" s="702"/>
      <c r="K1" s="702"/>
      <c r="L1" s="702"/>
      <c r="M1" s="709"/>
      <c r="N1" s="9"/>
    </row>
    <row r="2" spans="1:14" s="18" customFormat="1" ht="13.5" thickBot="1">
      <c r="A2" s="916"/>
      <c r="B2" s="917"/>
      <c r="C2" s="918"/>
      <c r="D2" s="702" t="str">
        <f>Translations!$B$279</f>
        <v>Début de feuille</v>
      </c>
      <c r="E2" s="750"/>
      <c r="F2" s="698"/>
      <c r="G2" s="698"/>
      <c r="H2" s="698"/>
      <c r="I2" s="698"/>
      <c r="J2" s="698"/>
      <c r="K2" s="698"/>
      <c r="L2" s="698"/>
      <c r="M2" s="698"/>
      <c r="N2" s="9"/>
    </row>
    <row r="3" spans="1:14" s="18" customFormat="1" ht="13.5" thickBot="1">
      <c r="A3" s="919"/>
      <c r="B3" s="920"/>
      <c r="C3" s="921"/>
      <c r="D3" s="702" t="str">
        <f>Translations!$B$280</f>
        <v>Fin de feuille</v>
      </c>
      <c r="E3" s="702"/>
      <c r="F3" s="698"/>
      <c r="G3" s="698"/>
      <c r="H3" s="698"/>
      <c r="I3" s="698"/>
      <c r="J3" s="698"/>
      <c r="K3" s="698"/>
      <c r="L3" s="698"/>
      <c r="M3" s="698"/>
      <c r="N3" s="9"/>
    </row>
    <row r="4" spans="1:14" s="18" customFormat="1" ht="12.75">
      <c r="A4" s="5"/>
      <c r="B4" s="6"/>
      <c r="C4" s="7"/>
      <c r="D4" s="7"/>
      <c r="E4" s="8"/>
      <c r="F4" s="8"/>
      <c r="G4" s="8"/>
      <c r="H4" s="5"/>
      <c r="I4" s="5"/>
      <c r="J4" s="5"/>
      <c r="K4" s="5"/>
      <c r="L4" s="9"/>
      <c r="M4" s="9"/>
      <c r="N4" s="9"/>
    </row>
    <row r="5" spans="1:14" s="18" customFormat="1" ht="23.25" customHeight="1">
      <c r="A5" s="5"/>
      <c r="B5" s="11" t="s">
        <v>351</v>
      </c>
      <c r="C5" s="718" t="str">
        <f>Translations!$B$930</f>
        <v>Feuille «Remarques - REMARQUES ET INFORMATIONS SUPPLÉMENTAIRES</v>
      </c>
      <c r="D5" s="742"/>
      <c r="E5" s="742"/>
      <c r="F5" s="742"/>
      <c r="G5" s="742"/>
      <c r="H5" s="742"/>
      <c r="I5" s="742"/>
      <c r="J5" s="742"/>
      <c r="K5" s="742"/>
      <c r="L5" s="742"/>
      <c r="M5" s="742"/>
      <c r="N5" s="9"/>
    </row>
    <row r="6" spans="1:14" s="18" customFormat="1" ht="12.75">
      <c r="A6" s="5"/>
      <c r="B6" s="5"/>
      <c r="C6" s="5"/>
      <c r="D6" s="5"/>
      <c r="E6" s="5"/>
      <c r="F6" s="5"/>
      <c r="G6" s="5"/>
      <c r="H6" s="5"/>
      <c r="I6" s="5"/>
      <c r="J6" s="5"/>
      <c r="K6" s="5"/>
      <c r="L6" s="9"/>
      <c r="M6" s="9"/>
      <c r="N6" s="9"/>
    </row>
    <row r="7" spans="1:14" s="18" customFormat="1" ht="15.75">
      <c r="A7" s="5"/>
      <c r="B7" s="12" t="s">
        <v>42</v>
      </c>
      <c r="C7" s="720" t="str">
        <f>Translations!$B$931</f>
        <v>Documents étayant cette déclaration</v>
      </c>
      <c r="D7" s="720"/>
      <c r="E7" s="720"/>
      <c r="F7" s="720"/>
      <c r="G7" s="720"/>
      <c r="H7" s="720"/>
      <c r="I7" s="720"/>
      <c r="J7" s="720"/>
      <c r="K7" s="720"/>
      <c r="L7" s="720"/>
      <c r="M7" s="720"/>
      <c r="N7" s="9"/>
    </row>
    <row r="8" spans="1:14" s="18" customFormat="1" ht="4.5" customHeight="1">
      <c r="A8" s="5"/>
      <c r="B8" s="5"/>
      <c r="C8" s="5"/>
      <c r="D8" s="5"/>
      <c r="E8" s="5"/>
      <c r="F8" s="5"/>
      <c r="G8" s="5"/>
      <c r="H8" s="5"/>
      <c r="I8" s="5"/>
      <c r="J8" s="5"/>
      <c r="K8" s="5"/>
      <c r="L8" s="9"/>
      <c r="M8" s="9"/>
      <c r="N8" s="9"/>
    </row>
    <row r="9" spans="1:14" s="18" customFormat="1" ht="15">
      <c r="A9" s="5"/>
      <c r="B9" s="16"/>
      <c r="C9" s="817" t="str">
        <f>Translations!$B$932</f>
        <v>Veuillez dresser ici la liste de tous les documents annexés à cette déclaration</v>
      </c>
      <c r="D9" s="742"/>
      <c r="E9" s="742"/>
      <c r="F9" s="742"/>
      <c r="G9" s="742"/>
      <c r="H9" s="742"/>
      <c r="I9" s="742"/>
      <c r="J9" s="742"/>
      <c r="K9" s="742"/>
      <c r="L9" s="742"/>
      <c r="M9" s="742"/>
      <c r="N9" s="9"/>
    </row>
    <row r="10" spans="1:13" s="18" customFormat="1" ht="12.75">
      <c r="A10" s="5"/>
      <c r="B10" s="15"/>
      <c r="C10" s="791" t="str">
        <f>Translations!$B$933</f>
        <v>Des documents supplémentaires devront être présentés pour étayer cette déclaration. Dans la mesure du possible, veillez à les transmettre sous format électronique.</v>
      </c>
      <c r="D10" s="742"/>
      <c r="E10" s="742"/>
      <c r="F10" s="742"/>
      <c r="G10" s="742"/>
      <c r="H10" s="742"/>
      <c r="I10" s="742"/>
      <c r="J10" s="742"/>
      <c r="K10" s="742"/>
      <c r="L10" s="742"/>
      <c r="M10" s="742"/>
    </row>
    <row r="11" spans="1:13" s="18" customFormat="1" ht="12.75">
      <c r="A11" s="5"/>
      <c r="B11" s="15"/>
      <c r="C11" s="791" t="str">
        <f>Translations!$B$934</f>
        <v>Vous pouvez utiliser les formats suivants: Microsoft Word, Excel, ou Adobe Acrobat.</v>
      </c>
      <c r="D11" s="742"/>
      <c r="E11" s="742"/>
      <c r="F11" s="742"/>
      <c r="G11" s="742"/>
      <c r="H11" s="742"/>
      <c r="I11" s="742"/>
      <c r="J11" s="742"/>
      <c r="K11" s="742"/>
      <c r="L11" s="742"/>
      <c r="M11" s="742"/>
    </row>
    <row r="12" spans="1:13" s="18" customFormat="1" ht="12.75">
      <c r="A12" s="5"/>
      <c r="B12" s="15"/>
      <c r="C12" s="791" t="str">
        <f>Translations!$B$935</f>
        <v>Si nécessaire, demandez à l'autorité compétente dont vous relevez si d'autres formats que ceux mentionnés ci-dessus sont acceptés.</v>
      </c>
      <c r="D12" s="742"/>
      <c r="E12" s="742"/>
      <c r="F12" s="742"/>
      <c r="G12" s="742"/>
      <c r="H12" s="742"/>
      <c r="I12" s="742"/>
      <c r="J12" s="742"/>
      <c r="K12" s="742"/>
      <c r="L12" s="742"/>
      <c r="M12" s="742"/>
    </row>
    <row r="13" spans="1:13" s="18" customFormat="1" ht="12.75">
      <c r="A13" s="5"/>
      <c r="B13" s="15"/>
      <c r="C13" s="791" t="str">
        <f>Translations!$B$936</f>
        <v>Les documents supplémentaires fournis doivent être clairement référencés, et les noms de fichiers ou numéros de référence doivent être indiqués ci-après. </v>
      </c>
      <c r="D13" s="742"/>
      <c r="E13" s="742"/>
      <c r="F13" s="742"/>
      <c r="G13" s="742"/>
      <c r="H13" s="742"/>
      <c r="I13" s="742"/>
      <c r="J13" s="742"/>
      <c r="K13" s="742"/>
      <c r="L13" s="742"/>
      <c r="M13" s="742"/>
    </row>
    <row r="14" spans="1:13" s="18" customFormat="1" ht="12.75">
      <c r="A14" s="5"/>
      <c r="B14" s="15"/>
      <c r="C14" s="791" t="str">
        <f>Translations!$B$937</f>
        <v>Il est recommandé d'éviter de fournir des informations non pertinentes, car cela peut ralentir l'approbation de cette déclaration. </v>
      </c>
      <c r="D14" s="742"/>
      <c r="E14" s="742"/>
      <c r="F14" s="742"/>
      <c r="G14" s="742"/>
      <c r="H14" s="742"/>
      <c r="I14" s="742"/>
      <c r="J14" s="742"/>
      <c r="K14" s="742"/>
      <c r="L14" s="742"/>
      <c r="M14" s="742"/>
    </row>
    <row r="15" spans="3:13" s="18" customFormat="1" ht="25.5" customHeight="1">
      <c r="C15" s="788" t="str">
        <f>Translations!$B$938</f>
        <v>Veuillez indiquer ci-dessous le(s) nom(s) de fichier(s) (s'il s'agit de documents électroniques) ou le(s) numéro(s) de référence du/des document(s) (s'il s'agit de documents sur support papier):</v>
      </c>
      <c r="D15" s="742"/>
      <c r="E15" s="742"/>
      <c r="F15" s="742"/>
      <c r="G15" s="742"/>
      <c r="H15" s="742"/>
      <c r="I15" s="742"/>
      <c r="J15" s="742"/>
      <c r="K15" s="742"/>
      <c r="L15" s="742"/>
      <c r="M15" s="742"/>
    </row>
    <row r="16" spans="1:14" s="18" customFormat="1" ht="4.5" customHeight="1">
      <c r="A16" s="5"/>
      <c r="B16" s="5"/>
      <c r="C16" s="5"/>
      <c r="D16" s="5"/>
      <c r="E16" s="5"/>
      <c r="F16" s="5"/>
      <c r="G16" s="5"/>
      <c r="H16" s="5"/>
      <c r="I16" s="5"/>
      <c r="J16" s="5"/>
      <c r="K16" s="5"/>
      <c r="L16" s="9"/>
      <c r="M16" s="9"/>
      <c r="N16" s="9"/>
    </row>
    <row r="17" spans="4:13" s="18" customFormat="1" ht="12.75">
      <c r="D17" s="22" t="str">
        <f>Translations!$B$939</f>
        <v>Nom de fichier/Référence</v>
      </c>
      <c r="E17" s="109"/>
      <c r="F17" s="22" t="str">
        <f>Translations!$B$940</f>
        <v>Description du document</v>
      </c>
      <c r="G17" s="22"/>
      <c r="H17" s="22"/>
      <c r="I17" s="22"/>
      <c r="J17" s="22"/>
      <c r="K17" s="22"/>
      <c r="L17" s="20"/>
      <c r="M17" s="20"/>
    </row>
    <row r="18" spans="4:13" s="18" customFormat="1" ht="12.75">
      <c r="D18" s="1082"/>
      <c r="E18" s="1083"/>
      <c r="F18" s="1084"/>
      <c r="G18" s="1085"/>
      <c r="H18" s="1085"/>
      <c r="I18" s="1085"/>
      <c r="J18" s="1085"/>
      <c r="K18" s="1085"/>
      <c r="L18" s="1085"/>
      <c r="M18" s="1085"/>
    </row>
    <row r="19" spans="4:13" s="18" customFormat="1" ht="12.75">
      <c r="D19" s="1074"/>
      <c r="E19" s="1075"/>
      <c r="F19" s="1076"/>
      <c r="G19" s="1077"/>
      <c r="H19" s="1077"/>
      <c r="I19" s="1077"/>
      <c r="J19" s="1077"/>
      <c r="K19" s="1077"/>
      <c r="L19" s="1077"/>
      <c r="M19" s="1077"/>
    </row>
    <row r="20" spans="4:13" s="18" customFormat="1" ht="12.75">
      <c r="D20" s="1074"/>
      <c r="E20" s="1075"/>
      <c r="F20" s="1076"/>
      <c r="G20" s="1077"/>
      <c r="H20" s="1077"/>
      <c r="I20" s="1077"/>
      <c r="J20" s="1077"/>
      <c r="K20" s="1077"/>
      <c r="L20" s="1077"/>
      <c r="M20" s="1077"/>
    </row>
    <row r="21" spans="4:13" s="18" customFormat="1" ht="12.75">
      <c r="D21" s="1074"/>
      <c r="E21" s="1075"/>
      <c r="F21" s="1076"/>
      <c r="G21" s="1077"/>
      <c r="H21" s="1077"/>
      <c r="I21" s="1077"/>
      <c r="J21" s="1077"/>
      <c r="K21" s="1077"/>
      <c r="L21" s="1077"/>
      <c r="M21" s="1077"/>
    </row>
    <row r="22" spans="4:13" s="18" customFormat="1" ht="12.75">
      <c r="D22" s="1074"/>
      <c r="E22" s="1075"/>
      <c r="F22" s="1076"/>
      <c r="G22" s="1077"/>
      <c r="H22" s="1077"/>
      <c r="I22" s="1077"/>
      <c r="J22" s="1077"/>
      <c r="K22" s="1077"/>
      <c r="L22" s="1077"/>
      <c r="M22" s="1077"/>
    </row>
    <row r="23" spans="4:13" s="18" customFormat="1" ht="12.75">
      <c r="D23" s="1074"/>
      <c r="E23" s="1075"/>
      <c r="F23" s="1076"/>
      <c r="G23" s="1077"/>
      <c r="H23" s="1077"/>
      <c r="I23" s="1077"/>
      <c r="J23" s="1077"/>
      <c r="K23" s="1077"/>
      <c r="L23" s="1077"/>
      <c r="M23" s="1077"/>
    </row>
    <row r="24" spans="4:13" s="18" customFormat="1" ht="12.75">
      <c r="D24" s="1074"/>
      <c r="E24" s="1075"/>
      <c r="F24" s="1076"/>
      <c r="G24" s="1077"/>
      <c r="H24" s="1077"/>
      <c r="I24" s="1077"/>
      <c r="J24" s="1077"/>
      <c r="K24" s="1077"/>
      <c r="L24" s="1077"/>
      <c r="M24" s="1077"/>
    </row>
    <row r="25" spans="4:13" s="18" customFormat="1" ht="12.75">
      <c r="D25" s="1074"/>
      <c r="E25" s="1075"/>
      <c r="F25" s="1076"/>
      <c r="G25" s="1077"/>
      <c r="H25" s="1077"/>
      <c r="I25" s="1077"/>
      <c r="J25" s="1077"/>
      <c r="K25" s="1077"/>
      <c r="L25" s="1077"/>
      <c r="M25" s="1077"/>
    </row>
    <row r="26" spans="4:13" s="18" customFormat="1" ht="12.75">
      <c r="D26" s="1078"/>
      <c r="E26" s="1079"/>
      <c r="F26" s="1080"/>
      <c r="G26" s="1081"/>
      <c r="H26" s="1081"/>
      <c r="I26" s="1081"/>
      <c r="J26" s="1081"/>
      <c r="K26" s="1081"/>
      <c r="L26" s="1081"/>
      <c r="M26" s="1081"/>
    </row>
    <row r="27" s="18" customFormat="1" ht="12.75"/>
    <row r="28" spans="1:14" s="18" customFormat="1" ht="15.75">
      <c r="A28" s="5"/>
      <c r="B28" s="12" t="s">
        <v>73</v>
      </c>
      <c r="C28" s="720" t="str">
        <f>Translations!$B$941</f>
        <v>Informations complémentaires de tout ordre</v>
      </c>
      <c r="D28" s="720"/>
      <c r="E28" s="720"/>
      <c r="F28" s="720"/>
      <c r="G28" s="720"/>
      <c r="H28" s="720"/>
      <c r="I28" s="720"/>
      <c r="J28" s="720"/>
      <c r="K28" s="720"/>
      <c r="L28" s="720"/>
      <c r="M28" s="720"/>
      <c r="N28" s="9"/>
    </row>
    <row r="29" spans="1:14" s="18" customFormat="1" ht="4.5" customHeight="1">
      <c r="A29" s="5"/>
      <c r="B29" s="5"/>
      <c r="C29" s="5"/>
      <c r="D29" s="5"/>
      <c r="E29" s="5"/>
      <c r="F29" s="5"/>
      <c r="G29" s="5"/>
      <c r="H29" s="5"/>
      <c r="I29" s="5"/>
      <c r="J29" s="5"/>
      <c r="K29" s="5"/>
      <c r="L29" s="9"/>
      <c r="M29" s="9"/>
      <c r="N29" s="9"/>
    </row>
    <row r="30" spans="1:14" s="18" customFormat="1" ht="30" customHeight="1">
      <c r="A30" s="5"/>
      <c r="B30" s="68"/>
      <c r="C30" s="1073" t="str">
        <f>Translations!$B$942</f>
        <v>Indiquez dans l'espace ci-dessous tous les renseignements que vous n'avez pu introduire dans les autres feuilles et qui présentent un intérêt pour l'autorité compétente</v>
      </c>
      <c r="D30" s="1073"/>
      <c r="E30" s="1073"/>
      <c r="F30" s="1073"/>
      <c r="G30" s="1073"/>
      <c r="H30" s="1073"/>
      <c r="I30" s="1073"/>
      <c r="J30" s="1073"/>
      <c r="K30" s="1073"/>
      <c r="L30" s="1073"/>
      <c r="M30" s="1073"/>
      <c r="N30" s="9"/>
    </row>
  </sheetData>
  <sheetProtection sheet="1" objects="1" scenarios="1" formatCells="0" formatColumns="0" formatRows="0"/>
  <mergeCells count="44">
    <mergeCell ref="C11:M11"/>
    <mergeCell ref="C12:M12"/>
    <mergeCell ref="D19:E19"/>
    <mergeCell ref="F24:M24"/>
    <mergeCell ref="D23:E23"/>
    <mergeCell ref="F19:M19"/>
    <mergeCell ref="F22:M22"/>
    <mergeCell ref="F26:M26"/>
    <mergeCell ref="C13:M13"/>
    <mergeCell ref="C14:M14"/>
    <mergeCell ref="C15:M15"/>
    <mergeCell ref="D20:E20"/>
    <mergeCell ref="F20:M20"/>
    <mergeCell ref="D18:E18"/>
    <mergeCell ref="F18:M18"/>
    <mergeCell ref="A1:C3"/>
    <mergeCell ref="J1:K1"/>
    <mergeCell ref="D3:E3"/>
    <mergeCell ref="L1:M1"/>
    <mergeCell ref="F3:G3"/>
    <mergeCell ref="H3:I3"/>
    <mergeCell ref="F1:G1"/>
    <mergeCell ref="H1:I1"/>
    <mergeCell ref="L2:M2"/>
    <mergeCell ref="C10:M10"/>
    <mergeCell ref="J3:K3"/>
    <mergeCell ref="C7:M7"/>
    <mergeCell ref="D2:E2"/>
    <mergeCell ref="F2:G2"/>
    <mergeCell ref="H2:I2"/>
    <mergeCell ref="J2:K2"/>
    <mergeCell ref="C5:M5"/>
    <mergeCell ref="C9:M9"/>
    <mergeCell ref="L3:M3"/>
    <mergeCell ref="C30:M30"/>
    <mergeCell ref="D25:E25"/>
    <mergeCell ref="F25:M25"/>
    <mergeCell ref="D21:E21"/>
    <mergeCell ref="F21:M21"/>
    <mergeCell ref="D22:E22"/>
    <mergeCell ref="F23:M23"/>
    <mergeCell ref="D24:E24"/>
    <mergeCell ref="C28:M28"/>
    <mergeCell ref="D26:E26"/>
  </mergeCells>
  <hyperlinks>
    <hyperlink ref="F1:G1" location="JUMP_TOC_Home" display="Table of contents"/>
    <hyperlink ref="D2:E2" location="JUMP_J_Top" display="Top of sheet"/>
    <hyperlink ref="D3:E3" location="JUMP_J_II" display="End of sheet"/>
    <hyperlink ref="H1:I1" location="JUMP_I_Top" display="Previous sheet"/>
  </hyperlinks>
  <printOptions/>
  <pageMargins left="0.7874015748031497" right="0.7874015748031497" top="0.7874015748031497" bottom="0.7874015748031497" header="0.5118110236220472" footer="0.5118110236220472"/>
  <pageSetup fitToHeight="10" fitToWidth="1" horizontalDpi="600" verticalDpi="600" orientation="portrait" paperSize="9" scale="61" r:id="rId1"/>
  <headerFooter alignWithMargins="0">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indexed="12"/>
    <pageSetUpPr fitToPage="1"/>
  </sheetPr>
  <dimension ref="A1:AF376"/>
  <sheetViews>
    <sheetView zoomScalePageLayoutView="0" workbookViewId="0" topLeftCell="A1">
      <selection activeCell="A1" sqref="A1:IV16384"/>
    </sheetView>
  </sheetViews>
  <sheetFormatPr defaultColWidth="9.140625" defaultRowHeight="12.75"/>
  <cols>
    <col min="1" max="1" width="34.421875" style="82" customWidth="1"/>
    <col min="2" max="18" width="9.140625" style="82" customWidth="1"/>
    <col min="19" max="16384" width="9.140625" style="82" customWidth="1"/>
  </cols>
  <sheetData>
    <row r="1" spans="1:8" ht="12.75">
      <c r="A1" s="114" t="str">
        <f>Translations!$B$1431</f>
        <v>Dénomination</v>
      </c>
      <c r="B1" s="114" t="str">
        <f>Translations!$B$1432</f>
        <v>Constante</v>
      </c>
      <c r="C1" s="114" t="str">
        <f>Translations!$B$1433</f>
        <v>Autres constantes</v>
      </c>
      <c r="D1" s="115"/>
      <c r="E1" s="115"/>
      <c r="F1" s="115"/>
      <c r="G1" s="115"/>
      <c r="H1" s="115"/>
    </row>
    <row r="2" spans="1:11" ht="12.75">
      <c r="A2" s="336" t="s">
        <v>71</v>
      </c>
      <c r="B2" s="116">
        <v>2011</v>
      </c>
      <c r="C2" s="116">
        <v>2012</v>
      </c>
      <c r="D2" s="116">
        <v>2013</v>
      </c>
      <c r="E2" s="116">
        <v>2014</v>
      </c>
      <c r="F2" s="116">
        <v>2015</v>
      </c>
      <c r="G2" s="116">
        <v>2016</v>
      </c>
      <c r="H2" s="116">
        <v>2017</v>
      </c>
      <c r="I2" s="116">
        <v>2018</v>
      </c>
      <c r="J2" s="116">
        <v>2019</v>
      </c>
      <c r="K2" s="116">
        <v>2020</v>
      </c>
    </row>
    <row r="3" spans="1:32" ht="12.75">
      <c r="A3" s="336" t="s">
        <v>562</v>
      </c>
      <c r="B3" s="116">
        <v>1</v>
      </c>
      <c r="C3" s="116">
        <v>2</v>
      </c>
      <c r="D3" s="116">
        <v>3</v>
      </c>
      <c r="E3" s="116">
        <v>4</v>
      </c>
      <c r="F3" s="116">
        <v>5</v>
      </c>
      <c r="G3" s="116">
        <v>6</v>
      </c>
      <c r="H3" s="116">
        <v>7</v>
      </c>
      <c r="I3" s="116">
        <v>8</v>
      </c>
      <c r="J3" s="116">
        <v>9</v>
      </c>
      <c r="K3" s="116">
        <v>10</v>
      </c>
      <c r="L3" s="116">
        <v>11</v>
      </c>
      <c r="M3" s="116">
        <v>12</v>
      </c>
      <c r="N3" s="116">
        <v>13</v>
      </c>
      <c r="O3" s="116">
        <v>14</v>
      </c>
      <c r="P3" s="116">
        <v>15</v>
      </c>
      <c r="Q3" s="116">
        <v>16</v>
      </c>
      <c r="R3" s="116">
        <v>17</v>
      </c>
      <c r="S3" s="116">
        <v>18</v>
      </c>
      <c r="T3" s="116">
        <v>19</v>
      </c>
      <c r="U3" s="116">
        <v>20</v>
      </c>
      <c r="V3" s="116">
        <v>21</v>
      </c>
      <c r="W3" s="116">
        <v>22</v>
      </c>
      <c r="X3" s="116">
        <v>23</v>
      </c>
      <c r="Y3" s="116">
        <v>24</v>
      </c>
      <c r="Z3" s="116">
        <v>25</v>
      </c>
      <c r="AA3" s="116">
        <v>26</v>
      </c>
      <c r="AB3" s="116">
        <v>27</v>
      </c>
      <c r="AC3" s="116">
        <v>28</v>
      </c>
      <c r="AD3" s="116">
        <v>29</v>
      </c>
      <c r="AE3" s="116">
        <v>30</v>
      </c>
      <c r="AF3" s="116">
        <v>31</v>
      </c>
    </row>
    <row r="4" spans="1:13" ht="12.75">
      <c r="A4" s="336" t="s">
        <v>563</v>
      </c>
      <c r="B4" s="116">
        <v>1</v>
      </c>
      <c r="C4" s="116">
        <v>2</v>
      </c>
      <c r="D4" s="116">
        <v>3</v>
      </c>
      <c r="E4" s="116">
        <v>4</v>
      </c>
      <c r="F4" s="116">
        <v>5</v>
      </c>
      <c r="G4" s="116">
        <v>6</v>
      </c>
      <c r="H4" s="116">
        <v>7</v>
      </c>
      <c r="I4" s="116">
        <v>8</v>
      </c>
      <c r="J4" s="116">
        <v>9</v>
      </c>
      <c r="K4" s="116">
        <v>10</v>
      </c>
      <c r="L4" s="116">
        <v>11</v>
      </c>
      <c r="M4" s="116">
        <v>12</v>
      </c>
    </row>
    <row r="5" spans="1:7" ht="12.75">
      <c r="A5" s="82" t="s">
        <v>263</v>
      </c>
      <c r="B5" s="116" t="s">
        <v>264</v>
      </c>
      <c r="C5" s="116" t="s">
        <v>265</v>
      </c>
      <c r="D5" s="83"/>
      <c r="E5" s="83"/>
      <c r="F5" s="83"/>
      <c r="G5" s="83"/>
    </row>
    <row r="6" spans="1:3" ht="12.75">
      <c r="A6" s="82" t="s">
        <v>40</v>
      </c>
      <c r="B6" s="116" t="b">
        <v>1</v>
      </c>
      <c r="C6" s="116" t="b">
        <v>0</v>
      </c>
    </row>
    <row r="7" spans="1:4" ht="12.75">
      <c r="A7" s="82" t="s">
        <v>41</v>
      </c>
      <c r="B7" s="116" t="b">
        <v>1</v>
      </c>
      <c r="C7" s="116" t="b">
        <v>0</v>
      </c>
      <c r="D7" s="117" t="str">
        <f>EUconst_NA</f>
        <v>Sans objet</v>
      </c>
    </row>
    <row r="8" spans="1:3" ht="12.75">
      <c r="A8" s="82" t="s">
        <v>237</v>
      </c>
      <c r="B8" s="116" t="str">
        <f>Translations!B3</f>
        <v>Valeurs absolues</v>
      </c>
      <c r="C8" s="116" t="str">
        <f>Translations!B4</f>
        <v>Pourcentages</v>
      </c>
    </row>
    <row r="9" spans="1:4" ht="12.75">
      <c r="A9" s="336" t="s">
        <v>92</v>
      </c>
      <c r="B9" s="330" t="str">
        <f>Translations!$B$1434</f>
        <v>Activité totale</v>
      </c>
      <c r="C9" s="330" t="str">
        <f>Translations!$B$1435</f>
        <v>Lié à la capacité ajoutée</v>
      </c>
      <c r="D9" s="328" t="s">
        <v>283</v>
      </c>
    </row>
    <row r="10" spans="1:4" ht="12.75">
      <c r="A10" s="336" t="s">
        <v>519</v>
      </c>
      <c r="B10" s="330" t="str">
        <f>Translations!$B$1005</f>
        <v>Ménages privés</v>
      </c>
      <c r="C10" s="328" t="s">
        <v>283</v>
      </c>
      <c r="D10" s="328"/>
    </row>
    <row r="11" spans="1:4" ht="12.75">
      <c r="A11" s="336" t="s">
        <v>107</v>
      </c>
      <c r="B11" s="330" t="str">
        <f>Translations!$B$1436</f>
        <v>Allocation totale finale à titre gratuit</v>
      </c>
      <c r="C11" s="328" t="s">
        <v>283</v>
      </c>
      <c r="D11" s="328"/>
    </row>
    <row r="12" spans="1:2" ht="12.75">
      <c r="A12" s="82" t="s">
        <v>493</v>
      </c>
      <c r="B12" s="116" t="str">
        <f>Translations!$B$2</f>
        <v>Sans objet</v>
      </c>
    </row>
    <row r="13" spans="1:2" ht="12.75">
      <c r="A13" s="82" t="s">
        <v>93</v>
      </c>
      <c r="B13" s="116" t="s">
        <v>94</v>
      </c>
    </row>
    <row r="14" spans="1:2" ht="12.75">
      <c r="A14" s="82" t="s">
        <v>115</v>
      </c>
      <c r="B14" s="116" t="str">
        <f>Translations!B5</f>
        <v>Unité</v>
      </c>
    </row>
    <row r="15" spans="1:2" ht="12.75">
      <c r="A15" s="82" t="s">
        <v>335</v>
      </c>
      <c r="B15" s="116" t="str">
        <f>Translations!B6</f>
        <v>Mois</v>
      </c>
    </row>
    <row r="16" spans="1:2" ht="12.75">
      <c r="A16" s="82" t="s">
        <v>421</v>
      </c>
      <c r="B16" s="116" t="str">
        <f>Translations!B7</f>
        <v>Combustible</v>
      </c>
    </row>
    <row r="17" spans="1:2" ht="12.75">
      <c r="A17" s="82" t="s">
        <v>260</v>
      </c>
      <c r="B17" s="116" t="str">
        <f>Translations!B8</f>
        <v>Référentiel</v>
      </c>
    </row>
    <row r="18" spans="1:3" ht="12.75">
      <c r="A18" s="82" t="s">
        <v>242</v>
      </c>
      <c r="B18" s="116" t="str">
        <f>Translations!$B$440</f>
        <v>Sous-installation</v>
      </c>
      <c r="C18" s="328" t="s">
        <v>283</v>
      </c>
    </row>
    <row r="19" spans="1:2" ht="12.75">
      <c r="A19" s="82" t="s">
        <v>422</v>
      </c>
      <c r="B19" s="116" t="str">
        <f>Translations!B9</f>
        <v>Source d'émissions de procédé</v>
      </c>
    </row>
    <row r="20" spans="1:2" ht="12.75">
      <c r="A20" s="82" t="s">
        <v>516</v>
      </c>
      <c r="B20" s="116" t="str">
        <f>Translations!B10</f>
        <v>Élément du bilan massique</v>
      </c>
    </row>
    <row r="21" spans="1:2" ht="12.75">
      <c r="A21" s="82" t="s">
        <v>517</v>
      </c>
      <c r="B21" s="116" t="str">
        <f>Translations!B11</f>
        <v>Source CEMS</v>
      </c>
    </row>
    <row r="22" spans="1:2" ht="12.75">
      <c r="A22" s="82" t="s">
        <v>518</v>
      </c>
      <c r="B22" s="116" t="str">
        <f>Translations!B12</f>
        <v>Source N2O</v>
      </c>
    </row>
    <row r="23" spans="1:2" ht="12.75">
      <c r="A23" s="82" t="s">
        <v>317</v>
      </c>
      <c r="B23" s="116" t="str">
        <f>Translations!B13</f>
        <v>Source PFC</v>
      </c>
    </row>
    <row r="24" spans="1:2" ht="12.75">
      <c r="A24" s="82" t="s">
        <v>318</v>
      </c>
      <c r="B24" s="116" t="str">
        <f>Translations!B14</f>
        <v>Émissions transférées ou stockées</v>
      </c>
    </row>
    <row r="25" spans="1:2" ht="12.75">
      <c r="A25" s="82" t="s">
        <v>336</v>
      </c>
      <c r="B25" s="116" t="str">
        <f>Translations!B15</f>
        <v>Sous-installation avec référentiel de produit</v>
      </c>
    </row>
    <row r="26" spans="1:2" ht="12.75">
      <c r="A26" s="82" t="s">
        <v>440</v>
      </c>
      <c r="B26" s="116" t="str">
        <f>Translations!B16</f>
        <v>Sous-installation pour méthode alternative</v>
      </c>
    </row>
    <row r="27" spans="1:2" ht="12.75">
      <c r="A27" s="87" t="s">
        <v>57</v>
      </c>
      <c r="B27" s="116" t="str">
        <f>Translations!B17</f>
        <v>année</v>
      </c>
    </row>
    <row r="28" spans="1:3" ht="12.75">
      <c r="A28" s="320" t="s">
        <v>3</v>
      </c>
      <c r="B28" s="330" t="str">
        <f>Translations!$B$6</f>
        <v>Mois</v>
      </c>
      <c r="C28" s="328" t="s">
        <v>283</v>
      </c>
    </row>
    <row r="29" spans="1:2" ht="12.75">
      <c r="A29" s="87" t="s">
        <v>58</v>
      </c>
      <c r="B29" s="116" t="str">
        <f>Translations!B18</f>
        <v>tonnes</v>
      </c>
    </row>
    <row r="30" spans="1:2" ht="12.75">
      <c r="A30" s="87" t="s">
        <v>498</v>
      </c>
      <c r="B30" s="116" t="s">
        <v>496</v>
      </c>
    </row>
    <row r="31" spans="1:2" ht="12.75">
      <c r="A31" s="87" t="s">
        <v>116</v>
      </c>
      <c r="B31" s="116" t="s">
        <v>117</v>
      </c>
    </row>
    <row r="32" spans="1:7" ht="12.75">
      <c r="A32" s="87" t="s">
        <v>499</v>
      </c>
      <c r="B32" s="116" t="s">
        <v>497</v>
      </c>
      <c r="C32" s="87"/>
      <c r="D32" s="87"/>
      <c r="E32" s="87"/>
      <c r="F32" s="87"/>
      <c r="G32" s="87"/>
    </row>
    <row r="33" spans="1:7" ht="12.75">
      <c r="A33" s="87" t="s">
        <v>122</v>
      </c>
      <c r="B33" s="116" t="s">
        <v>123</v>
      </c>
      <c r="C33" s="87"/>
      <c r="D33" s="87"/>
      <c r="E33" s="87"/>
      <c r="F33" s="87"/>
      <c r="G33" s="87"/>
    </row>
    <row r="34" spans="1:7" ht="12.75">
      <c r="A34" s="87" t="s">
        <v>124</v>
      </c>
      <c r="B34" s="116" t="s">
        <v>125</v>
      </c>
      <c r="C34" s="87"/>
      <c r="D34" s="87"/>
      <c r="E34" s="87"/>
      <c r="F34" s="87"/>
      <c r="G34" s="87"/>
    </row>
    <row r="35" spans="1:2" ht="12.75">
      <c r="A35" s="87" t="s">
        <v>158</v>
      </c>
      <c r="B35" s="116" t="str">
        <f>EUconst_TJ&amp;" / "&amp;EUconst_Year</f>
        <v>TJ / année</v>
      </c>
    </row>
    <row r="36" spans="1:2" ht="12.75">
      <c r="A36" s="87" t="s">
        <v>118</v>
      </c>
      <c r="B36" s="116" t="s">
        <v>119</v>
      </c>
    </row>
    <row r="37" spans="1:2" ht="12.75">
      <c r="A37" s="87" t="s">
        <v>152</v>
      </c>
      <c r="B37" s="116" t="str">
        <f>EUconst_MWh&amp;" / "&amp;EUconst_Year</f>
        <v>MWh / année</v>
      </c>
    </row>
    <row r="38" spans="1:2" ht="12.75">
      <c r="A38" s="87" t="s">
        <v>120</v>
      </c>
      <c r="B38" s="116" t="s">
        <v>121</v>
      </c>
    </row>
    <row r="39" spans="1:2" ht="12.75">
      <c r="A39" s="87" t="s">
        <v>153</v>
      </c>
      <c r="B39" s="116" t="str">
        <f>EUconst_t&amp;" / "&amp;EUconst_Year</f>
        <v>t / année</v>
      </c>
    </row>
    <row r="40" spans="1:2" ht="12.75">
      <c r="A40" s="87" t="s">
        <v>95</v>
      </c>
      <c r="B40" s="116" t="str">
        <f>EUconst_EUA&amp;" / "&amp;EUconst_Year</f>
        <v>EUA / année</v>
      </c>
    </row>
    <row r="41" spans="1:2" ht="12.75">
      <c r="A41" s="87" t="s">
        <v>96</v>
      </c>
      <c r="B41" s="116" t="str">
        <f>EUconst_EUA&amp;" / "&amp;EUconst_t</f>
        <v>EUA / t</v>
      </c>
    </row>
    <row r="42" spans="1:2" ht="12.75">
      <c r="A42" s="87" t="s">
        <v>154</v>
      </c>
      <c r="B42" s="116" t="str">
        <f>EUconst_GJ&amp;" / "&amp;EUconst_t</f>
        <v>GJ / t</v>
      </c>
    </row>
    <row r="43" spans="1:2" ht="12.75">
      <c r="A43" s="87" t="s">
        <v>319</v>
      </c>
      <c r="B43" s="116" t="str">
        <f>EUconst_GJ&amp;" / "&amp;EUconst_Year</f>
        <v>GJ / année</v>
      </c>
    </row>
    <row r="44" spans="1:2" ht="12.75">
      <c r="A44" s="87" t="s">
        <v>155</v>
      </c>
      <c r="B44" s="116" t="str">
        <f>EUconst_tCO2&amp;" / "&amp;EUconst_TJ</f>
        <v>t CO2 / TJ</v>
      </c>
    </row>
    <row r="45" spans="1:2" ht="12.75">
      <c r="A45" s="87" t="s">
        <v>156</v>
      </c>
      <c r="B45" s="116" t="str">
        <f>EUconst_tCO2&amp;" / "&amp;EUconst_Year</f>
        <v>t CO2 / année</v>
      </c>
    </row>
    <row r="46" spans="1:2" ht="12.75">
      <c r="A46" s="87" t="s">
        <v>157</v>
      </c>
      <c r="B46" s="116" t="str">
        <f>EUconst_tCO2&amp;" / "&amp;EUconst_t</f>
        <v>t CO2 / t</v>
      </c>
    </row>
    <row r="47" spans="1:2" ht="12.75">
      <c r="A47" s="87" t="s">
        <v>159</v>
      </c>
      <c r="B47" s="116" t="str">
        <f>EUconst_tN2O&amp;" / "&amp;EUconst_Year</f>
        <v>t N2O / année</v>
      </c>
    </row>
    <row r="48" spans="1:2" ht="12.75">
      <c r="A48" s="87" t="s">
        <v>160</v>
      </c>
      <c r="B48" s="116" t="s">
        <v>75</v>
      </c>
    </row>
    <row r="49" spans="1:2" ht="12.75">
      <c r="A49" s="87" t="s">
        <v>161</v>
      </c>
      <c r="B49" s="116" t="str">
        <f>EUconst_tCO2e&amp;"/"&amp;EUconst_Year</f>
        <v>t CO2e/année</v>
      </c>
    </row>
    <row r="50" spans="1:2" ht="12.75">
      <c r="A50" s="87" t="s">
        <v>162</v>
      </c>
      <c r="B50" s="116" t="s">
        <v>287</v>
      </c>
    </row>
    <row r="51" spans="1:2" ht="12.75">
      <c r="A51" s="87" t="s">
        <v>163</v>
      </c>
      <c r="B51" s="116" t="s">
        <v>288</v>
      </c>
    </row>
    <row r="52" spans="1:2" ht="12.75">
      <c r="A52" s="87" t="s">
        <v>164</v>
      </c>
      <c r="B52" s="116" t="s">
        <v>290</v>
      </c>
    </row>
    <row r="53" spans="1:2" ht="12.75">
      <c r="A53" s="87" t="s">
        <v>165</v>
      </c>
      <c r="B53" s="116" t="s">
        <v>291</v>
      </c>
    </row>
    <row r="54" spans="1:2" ht="12.75">
      <c r="A54" s="87" t="s">
        <v>166</v>
      </c>
      <c r="B54" s="116" t="s">
        <v>292</v>
      </c>
    </row>
    <row r="55" spans="1:2" ht="12.75">
      <c r="A55" s="87" t="s">
        <v>167</v>
      </c>
      <c r="B55" s="116" t="s">
        <v>74</v>
      </c>
    </row>
    <row r="56" spans="1:2" ht="12.75">
      <c r="A56" s="87" t="s">
        <v>168</v>
      </c>
      <c r="B56" s="116" t="str">
        <f>EUconst_tCO2e&amp;"/"&amp;EUconst_t</f>
        <v>t CO2e/t</v>
      </c>
    </row>
    <row r="57" spans="1:2" ht="12.75">
      <c r="A57" s="87" t="s">
        <v>126</v>
      </c>
      <c r="B57" s="116" t="str">
        <f>Translations!$B$19</f>
        <v>ou</v>
      </c>
    </row>
    <row r="58" spans="1:3" ht="12.75">
      <c r="A58" s="87" t="s">
        <v>169</v>
      </c>
      <c r="B58" s="116" t="str">
        <f>"% "&amp;EUconst_Or&amp;" "&amp;EUconst_TJ</f>
        <v>% ou TJ</v>
      </c>
      <c r="C58" s="328" t="s">
        <v>0</v>
      </c>
    </row>
    <row r="59" spans="1:3" ht="12.75">
      <c r="A59" s="87" t="s">
        <v>344</v>
      </c>
      <c r="B59" s="116" t="str">
        <f>"% "&amp;EUconst_Or&amp;" "&amp;EUconst_MWh</f>
        <v>% ou MWh</v>
      </c>
      <c r="C59" s="328" t="s">
        <v>0</v>
      </c>
    </row>
    <row r="60" spans="1:3" ht="12.75">
      <c r="A60" s="87" t="s">
        <v>345</v>
      </c>
      <c r="B60" s="116" t="str">
        <f>"% "&amp;EUconst_Or&amp;" "&amp;EUconst_tCO2e</f>
        <v>% ou t CO2e</v>
      </c>
      <c r="C60" s="328" t="s">
        <v>0</v>
      </c>
    </row>
    <row r="61" spans="1:5" ht="12.75">
      <c r="A61" s="320" t="s">
        <v>423</v>
      </c>
      <c r="B61" s="330" t="str">
        <f>Translations!$B$1437</f>
        <v>Extensions (article 20 des CIM) et/ou réductions (article 21 des CIM) significatives de la capacité</v>
      </c>
      <c r="C61" s="330" t="str">
        <f>Translations!$B$1438</f>
        <v>Cessation des activités de l'installation dans son ensemble (article 22 des CIM)</v>
      </c>
      <c r="D61" s="330" t="str">
        <f>Translations!$B$1439</f>
        <v>Cessations partielles des activités et/ou reprise des activités après cessations partielles (article 23 des CIM)</v>
      </c>
      <c r="E61" s="328" t="s">
        <v>283</v>
      </c>
    </row>
    <row r="62" spans="1:5" ht="12.75">
      <c r="A62" s="320" t="s">
        <v>245</v>
      </c>
      <c r="B62" s="319" t="str">
        <f>Translations!$B$1440</f>
        <v>L'installation est une installation en site vierge et demande l'allocation de quotas en tant que nouvel entrant au sens de l'article 17 des CIM</v>
      </c>
      <c r="C62" s="318" t="s">
        <v>283</v>
      </c>
      <c r="D62" s="377"/>
      <c r="E62" s="328"/>
    </row>
    <row r="63" spans="1:7" ht="12.75">
      <c r="A63" s="320" t="s">
        <v>285</v>
      </c>
      <c r="B63" s="330" t="str">
        <f>Translations!$B$1441</f>
        <v>première sous-installation d'une installation en site vierge</v>
      </c>
      <c r="C63" s="330" t="str">
        <f>Translations!$B$1442</f>
        <v>extension significative de la capacité</v>
      </c>
      <c r="D63" s="330" t="str">
        <f>Translations!$B$1443</f>
        <v>réduction significative de la capacité</v>
      </c>
      <c r="E63" s="330" t="str">
        <f>Translations!$B$1444</f>
        <v>cessation partielle</v>
      </c>
      <c r="F63" s="330" t="str">
        <f>Translations!$B$1445</f>
        <v>reprise après cessation partielle.</v>
      </c>
      <c r="G63" s="328" t="s">
        <v>283</v>
      </c>
    </row>
    <row r="64" spans="1:8" ht="12.75">
      <c r="A64" s="320" t="s">
        <v>6</v>
      </c>
      <c r="B64" s="330" t="str">
        <f>B63</f>
        <v>première sous-installation d'une installation en site vierge</v>
      </c>
      <c r="C64" s="330" t="str">
        <f>C63</f>
        <v>extension significative de la capacité</v>
      </c>
      <c r="D64" s="330" t="str">
        <f>D63</f>
        <v>réduction significative de la capacité</v>
      </c>
      <c r="E64" s="330" t="str">
        <f>E63</f>
        <v>cessation partielle</v>
      </c>
      <c r="F64" s="330" t="str">
        <f>F63</f>
        <v>reprise après cessation partielle.</v>
      </c>
      <c r="G64" s="330" t="str">
        <f>Translations!$B$1446</f>
        <v>aucune</v>
      </c>
      <c r="H64" s="328" t="s">
        <v>283</v>
      </c>
    </row>
    <row r="65" spans="1:8" ht="12.75">
      <c r="A65" s="320" t="s">
        <v>25</v>
      </c>
      <c r="B65" s="330" t="str">
        <f>C64</f>
        <v>extension significative de la capacité</v>
      </c>
      <c r="C65" s="330" t="str">
        <f>D64</f>
        <v>réduction significative de la capacité</v>
      </c>
      <c r="D65" s="330" t="str">
        <f>E64</f>
        <v>cessation partielle</v>
      </c>
      <c r="E65" s="330" t="str">
        <f>F64</f>
        <v>reprise après cessation partielle.</v>
      </c>
      <c r="F65" s="328" t="s">
        <v>283</v>
      </c>
      <c r="G65" s="328"/>
      <c r="H65" s="328"/>
    </row>
    <row r="66" spans="1:8" ht="12.75">
      <c r="A66" s="320" t="s">
        <v>24</v>
      </c>
      <c r="B66" s="330" t="str">
        <f>Translations!$B$1005</f>
        <v>Ménages privés</v>
      </c>
      <c r="C66" s="330" t="str">
        <f>Translations!$B$1447</f>
        <v>Phase antérieure au début</v>
      </c>
      <c r="D66" s="328" t="s">
        <v>283</v>
      </c>
      <c r="H66" s="328"/>
    </row>
    <row r="67" spans="1:8" ht="12.75">
      <c r="A67" s="320" t="s">
        <v>39</v>
      </c>
      <c r="B67" s="330" t="str">
        <f>Translations!$B$1448</f>
        <v>Début de l'exploitation normale [article 3, point n), des CIM]</v>
      </c>
      <c r="C67" s="330" t="str">
        <f>Translations!$B$1449</f>
        <v>Début de l'exploitation modifiée [article 3, point o), des CIM] </v>
      </c>
      <c r="D67" s="328" t="s">
        <v>283</v>
      </c>
      <c r="H67" s="328"/>
    </row>
    <row r="68" spans="1:8" ht="12.75">
      <c r="A68" s="320" t="s">
        <v>326</v>
      </c>
      <c r="B68" s="330" t="str">
        <f>Translations!$B$1450</f>
        <v>Les deux périodes de 30 jours enregistrant les niveaux d'activité les plus élevés</v>
      </c>
      <c r="C68" s="330" t="str">
        <f>Translations!$B$1451</f>
        <v>Les deux niveaux d'activité les plus élevés par mois civil </v>
      </c>
      <c r="D68" s="328" t="s">
        <v>283</v>
      </c>
      <c r="H68" s="328"/>
    </row>
    <row r="69" spans="1:8" ht="12.75">
      <c r="A69" s="87" t="s">
        <v>243</v>
      </c>
      <c r="B69" s="116" t="str">
        <f>Translations!B20</f>
        <v>Installation relevant du SEQE</v>
      </c>
      <c r="C69" s="116" t="str">
        <f>Translations!B21</f>
        <v>Installation ne relevant pas du SEQE</v>
      </c>
      <c r="D69" s="116" t="str">
        <f>Translations!B22</f>
        <v>Installation produisant de l'acide nitrique</v>
      </c>
      <c r="E69" s="116" t="str">
        <f>Translations!B23</f>
        <v>Réseaux de distribution de chaleur</v>
      </c>
      <c r="F69" s="87"/>
      <c r="G69" s="87"/>
      <c r="H69" s="87"/>
    </row>
    <row r="70" spans="1:7" ht="12.75">
      <c r="A70" s="87" t="s">
        <v>244</v>
      </c>
      <c r="B70" s="116" t="str">
        <f>Translations!B24</f>
        <v>Chaleur mesurable</v>
      </c>
      <c r="C70" s="116" t="str">
        <f>Translations!B25</f>
        <v>Gaz résiduaire</v>
      </c>
      <c r="D70" s="116" t="str">
        <f>Translations!B26</f>
        <v>CO2 transféré (CCS-CSC)</v>
      </c>
      <c r="E70" s="87"/>
      <c r="F70" s="87"/>
      <c r="G70" s="87"/>
    </row>
    <row r="71" spans="1:7" ht="12.75">
      <c r="A71" s="87" t="s">
        <v>209</v>
      </c>
      <c r="B71" s="116" t="str">
        <f>Translations!B27</f>
        <v>Chaleur</v>
      </c>
      <c r="C71" s="116" t="str">
        <f>Translations!B28</f>
        <v>Gaz résiduaire</v>
      </c>
      <c r="D71" s="116" t="s">
        <v>210</v>
      </c>
      <c r="E71" s="87"/>
      <c r="F71" s="87"/>
      <c r="G71" s="87"/>
    </row>
    <row r="72" spans="1:7" ht="12.75">
      <c r="A72" s="87" t="s">
        <v>208</v>
      </c>
      <c r="B72" s="4" t="str">
        <f>Translations!B29</f>
        <v>Importation</v>
      </c>
      <c r="C72" s="4" t="str">
        <f>Translations!B30</f>
        <v>Exportation</v>
      </c>
      <c r="D72" s="87"/>
      <c r="E72" s="87"/>
      <c r="F72" s="87"/>
      <c r="G72" s="87"/>
    </row>
    <row r="73" spans="1:7" ht="12.75">
      <c r="A73" s="87" t="s">
        <v>324</v>
      </c>
      <c r="B73" s="116" t="str">
        <f>Translations!$B$31</f>
        <v>Au sein de l'installation</v>
      </c>
      <c r="C73" s="87"/>
      <c r="D73" s="87"/>
      <c r="E73" s="87"/>
      <c r="F73" s="87"/>
      <c r="G73" s="87"/>
    </row>
    <row r="74" spans="1:7" ht="12.75">
      <c r="A74" s="87" t="s">
        <v>325</v>
      </c>
      <c r="B74" s="116" t="str">
        <f>Translations!B32</f>
        <v>Production de marchandises</v>
      </c>
      <c r="C74" s="116" t="str">
        <f>Translations!B33</f>
        <v>énergie mécanique</v>
      </c>
      <c r="D74" s="116" t="str">
        <f>Translations!B34</f>
        <v>chauffage</v>
      </c>
      <c r="E74" s="116" t="str">
        <f>Translations!B35</f>
        <v>refroidissement</v>
      </c>
      <c r="F74" s="116" t="str">
        <f>Translations!B36</f>
        <v>inconnu</v>
      </c>
      <c r="G74" s="87"/>
    </row>
    <row r="75" spans="1:6" ht="12.75">
      <c r="A75" s="87" t="s">
        <v>207</v>
      </c>
      <c r="B75" s="116" t="str">
        <f>Translations!B37</f>
        <v>Production de marchandises</v>
      </c>
      <c r="C75" s="116" t="str">
        <f>Translations!B38</f>
        <v>énergie mécanique</v>
      </c>
      <c r="D75" s="116" t="str">
        <f>Translations!B39</f>
        <v>chauffage</v>
      </c>
      <c r="E75" s="116" t="str">
        <f>Translations!B40</f>
        <v>refroidissement</v>
      </c>
      <c r="F75" s="87"/>
    </row>
    <row r="76" spans="1:10" ht="12.75">
      <c r="A76" s="87" t="s">
        <v>79</v>
      </c>
      <c r="B76" s="4" t="str">
        <f>Translations!$B$469</f>
        <v>N2O</v>
      </c>
      <c r="C76" s="4" t="s">
        <v>81</v>
      </c>
      <c r="D76" s="116" t="str">
        <f>Translations!B41</f>
        <v>CO2 (corrigé des gaz résiduaires)</v>
      </c>
      <c r="E76" s="116" t="str">
        <f>Translations!B42</f>
        <v>réduction des composés métalliques</v>
      </c>
      <c r="F76" s="116" t="str">
        <f>Translations!B43</f>
        <v>élimination des impuretés</v>
      </c>
      <c r="G76" s="116" t="str">
        <f>Translations!B44</f>
        <v>décomposition des carbonates</v>
      </c>
      <c r="H76" s="116" t="str">
        <f>Translations!B45</f>
        <v>synthèse chimique</v>
      </c>
      <c r="I76" s="116" t="str">
        <f>Translations!B46</f>
        <v>matières contenant du carbone</v>
      </c>
      <c r="J76" s="116" t="str">
        <f>Translations!B47</f>
        <v>réduction d'oxydes métalloïdes ou d'oxydes non métalliques </v>
      </c>
    </row>
    <row r="77" spans="1:7" ht="12.75">
      <c r="A77" s="87" t="s">
        <v>266</v>
      </c>
      <c r="B77" s="4">
        <f>H304</f>
        <v>62.3</v>
      </c>
      <c r="C77" s="3"/>
      <c r="D77" s="87"/>
      <c r="E77" s="87"/>
      <c r="F77" s="87"/>
      <c r="G77" s="87"/>
    </row>
    <row r="78" spans="1:7" ht="12.75">
      <c r="A78" s="87" t="s">
        <v>267</v>
      </c>
      <c r="B78" s="4">
        <v>0.465</v>
      </c>
      <c r="C78" s="3"/>
      <c r="D78" s="87"/>
      <c r="E78" s="87"/>
      <c r="F78" s="87"/>
      <c r="G78" s="87"/>
    </row>
    <row r="79" spans="1:7" ht="12.75">
      <c r="A79" s="87" t="s">
        <v>76</v>
      </c>
      <c r="B79" s="4">
        <f>H306</f>
        <v>56.1</v>
      </c>
      <c r="C79" s="3"/>
      <c r="D79" s="87"/>
      <c r="E79" s="87"/>
      <c r="F79" s="87"/>
      <c r="G79" s="87"/>
    </row>
    <row r="80" spans="1:7" ht="12.75">
      <c r="A80" s="87" t="s">
        <v>355</v>
      </c>
      <c r="B80" s="4" t="str">
        <f>Translations!B48</f>
        <v>pertinent</v>
      </c>
      <c r="C80" s="3"/>
      <c r="D80" s="87"/>
      <c r="E80" s="87"/>
      <c r="F80" s="87"/>
      <c r="G80" s="87"/>
    </row>
    <row r="81" spans="1:7" ht="12.75">
      <c r="A81" s="87" t="s">
        <v>356</v>
      </c>
      <c r="B81" s="4" t="str">
        <f>Translations!B49</f>
        <v>non pertinent</v>
      </c>
      <c r="C81" s="3"/>
      <c r="D81" s="87"/>
      <c r="E81" s="87"/>
      <c r="F81" s="87"/>
      <c r="G81" s="87"/>
    </row>
    <row r="82" spans="1:7" ht="12.75">
      <c r="A82" s="87" t="s">
        <v>476</v>
      </c>
      <c r="B82" s="4" t="str">
        <f>EUconst_Relevant</f>
        <v>pertinent</v>
      </c>
      <c r="C82" s="4" t="str">
        <f>EUconst_NotRelevant</f>
        <v>non pertinent</v>
      </c>
      <c r="D82" s="87"/>
      <c r="E82" s="87"/>
      <c r="F82" s="87"/>
      <c r="G82" s="87"/>
    </row>
    <row r="83" spans="1:7" ht="12.75">
      <c r="A83" s="87" t="s">
        <v>477</v>
      </c>
      <c r="B83" s="4" t="str">
        <f>Translations!B50</f>
        <v>Fuite de carbone</v>
      </c>
      <c r="C83" s="4" t="str">
        <f>Translations!B51</f>
        <v>non exposé au risque de fuite de carbone</v>
      </c>
      <c r="D83" s="87"/>
      <c r="E83" s="87"/>
      <c r="F83" s="87"/>
      <c r="G83" s="87"/>
    </row>
    <row r="84" spans="1:7" ht="12.75">
      <c r="A84" s="87" t="s">
        <v>445</v>
      </c>
      <c r="B84" s="4" t="str">
        <f>"1000Nm3"</f>
        <v>1000Nm3</v>
      </c>
      <c r="C84" s="3"/>
      <c r="D84" s="87"/>
      <c r="E84" s="87"/>
      <c r="F84" s="87"/>
      <c r="G84" s="87"/>
    </row>
    <row r="85" spans="1:7" ht="12.75">
      <c r="A85" s="87" t="s">
        <v>446</v>
      </c>
      <c r="B85" s="4" t="str">
        <f>EUconst_t</f>
        <v>t</v>
      </c>
      <c r="C85" s="4" t="str">
        <f>B84</f>
        <v>1000Nm3</v>
      </c>
      <c r="D85" s="87"/>
      <c r="E85" s="87"/>
      <c r="F85" s="87"/>
      <c r="G85" s="87"/>
    </row>
    <row r="86" spans="1:7" ht="12.75">
      <c r="A86" s="87" t="s">
        <v>447</v>
      </c>
      <c r="B86" s="4" t="str">
        <f>EUconst_GJpt</f>
        <v>GJ / t</v>
      </c>
      <c r="C86" s="4" t="s">
        <v>448</v>
      </c>
      <c r="D86" s="87"/>
      <c r="E86" s="87"/>
      <c r="F86" s="87"/>
      <c r="G86" s="87"/>
    </row>
    <row r="87" spans="1:8" ht="12.75">
      <c r="A87" s="87" t="s">
        <v>239</v>
      </c>
      <c r="B87" s="4" t="str">
        <f>EUconst_tCO2pTJ</f>
        <v>t CO2 / TJ</v>
      </c>
      <c r="C87" s="4" t="str">
        <f>B88</f>
        <v>t CO2/1000Nm3</v>
      </c>
      <c r="D87" s="116" t="str">
        <f>EUconst_tCO2pt</f>
        <v>t CO2 / t</v>
      </c>
      <c r="G87" s="87"/>
      <c r="H87" s="87"/>
    </row>
    <row r="88" spans="1:8" ht="12.75">
      <c r="A88" s="87" t="s">
        <v>315</v>
      </c>
      <c r="B88" s="4" t="str">
        <f>EUconst_tCO2&amp;"/1000Nm3"</f>
        <v>t CO2/1000Nm3</v>
      </c>
      <c r="C88" s="4"/>
      <c r="D88" s="116"/>
      <c r="G88" s="87"/>
      <c r="H88" s="87"/>
    </row>
    <row r="89" spans="1:7" ht="12.75">
      <c r="A89" s="87" t="s">
        <v>449</v>
      </c>
      <c r="B89" s="4" t="str">
        <f>EUconst_GJ&amp;" / "&amp;EUconst_Unit</f>
        <v>GJ / Unité</v>
      </c>
      <c r="C89" s="3"/>
      <c r="D89" s="87"/>
      <c r="E89" s="87"/>
      <c r="F89" s="87"/>
      <c r="G89" s="87"/>
    </row>
    <row r="90" spans="1:7" ht="12.75">
      <c r="A90" s="87" t="s">
        <v>59</v>
      </c>
      <c r="B90" s="4" t="str">
        <f>"MNm3/"&amp;EUconst_Year</f>
        <v>MNm3/année</v>
      </c>
      <c r="C90" s="3"/>
      <c r="D90" s="87"/>
      <c r="E90" s="87"/>
      <c r="F90" s="87"/>
      <c r="G90" s="87"/>
    </row>
    <row r="91" spans="1:7" ht="12.75">
      <c r="A91" s="87" t="s">
        <v>513</v>
      </c>
      <c r="B91" s="319" t="s">
        <v>542</v>
      </c>
      <c r="C91" s="3"/>
      <c r="D91" s="87"/>
      <c r="E91" s="87"/>
      <c r="F91" s="87"/>
      <c r="G91" s="87"/>
    </row>
    <row r="92" spans="1:7" ht="12.75">
      <c r="A92" s="87" t="s">
        <v>332</v>
      </c>
      <c r="B92" s="4" t="str">
        <f>Translations!$B$52</f>
        <v>quotas</v>
      </c>
      <c r="C92" s="3"/>
      <c r="D92" s="87"/>
      <c r="E92" s="87"/>
      <c r="F92" s="87"/>
      <c r="G92" s="87"/>
    </row>
    <row r="93" spans="1:6" ht="12.75">
      <c r="A93" s="87" t="s">
        <v>240</v>
      </c>
      <c r="B93" s="4" t="str">
        <f>Translations!$B$1011</f>
        <v>L'exploitant de l'installation confirme que l'installation ne remplit pas les conditions d'allocation de quotas à titre gratuit conformément à l'article 10 bis de la directive SEQE-UE. </v>
      </c>
      <c r="C93" s="87"/>
      <c r="D93" s="87"/>
      <c r="E93" s="87"/>
      <c r="F93" s="87"/>
    </row>
    <row r="94" spans="1:6" ht="12.75">
      <c r="A94" s="87" t="s">
        <v>241</v>
      </c>
      <c r="B94" s="4" t="str">
        <f>Translations!$B$1012</f>
        <v>L'exploitant de l'installation confirme qu'une demande de modification de la quantité de quotas alloués à titre gratuit est introduite conformément à l'article 10 bis de la directive SEQE-UE.</v>
      </c>
      <c r="C94" s="87"/>
      <c r="D94" s="87"/>
      <c r="E94" s="87"/>
      <c r="F94" s="87"/>
    </row>
    <row r="95" spans="1:6" ht="12.75">
      <c r="A95" s="87" t="s">
        <v>286</v>
      </c>
      <c r="B95" s="4" t="str">
        <f>Translations!B53</f>
        <v>L'exploitant de cette installation confirme que la présente déclaration peut être utilisée par l'autorité compétente et la Commission européenne.</v>
      </c>
      <c r="C95" s="87"/>
      <c r="D95" s="87"/>
      <c r="E95" s="87"/>
      <c r="F95" s="87"/>
    </row>
    <row r="96" spans="1:6" ht="12.75">
      <c r="A96" s="320" t="s">
        <v>231</v>
      </c>
      <c r="B96" s="319" t="str">
        <f>Translations!$B$1452</f>
        <v>L'exploitant de l'installation confirme que l'installation a cessé ses activités.</v>
      </c>
      <c r="C96" s="318" t="s">
        <v>283</v>
      </c>
      <c r="D96" s="87"/>
      <c r="E96" s="87"/>
      <c r="F96" s="87"/>
    </row>
    <row r="97" spans="1:7" ht="12.75">
      <c r="A97" s="87" t="s">
        <v>47</v>
      </c>
      <c r="B97" s="4" t="s">
        <v>44</v>
      </c>
      <c r="C97" s="3"/>
      <c r="D97" s="87"/>
      <c r="E97" s="87"/>
      <c r="F97" s="87"/>
      <c r="G97" s="87"/>
    </row>
    <row r="98" spans="1:7" ht="12.75">
      <c r="A98" s="87" t="s">
        <v>48</v>
      </c>
      <c r="B98" s="4" t="s">
        <v>45</v>
      </c>
      <c r="C98" s="3"/>
      <c r="D98" s="87"/>
      <c r="E98" s="87"/>
      <c r="F98" s="87"/>
      <c r="G98" s="87"/>
    </row>
    <row r="99" spans="1:7" ht="12.75">
      <c r="A99" s="87" t="s">
        <v>49</v>
      </c>
      <c r="B99" s="4" t="s">
        <v>46</v>
      </c>
      <c r="C99" s="3"/>
      <c r="D99" s="87"/>
      <c r="E99" s="87"/>
      <c r="F99" s="87"/>
      <c r="G99" s="87"/>
    </row>
    <row r="100" spans="1:7" ht="12.75">
      <c r="A100" s="87" t="s">
        <v>50</v>
      </c>
      <c r="B100" s="4" t="s">
        <v>52</v>
      </c>
      <c r="C100" s="3"/>
      <c r="D100" s="87"/>
      <c r="E100" s="87"/>
      <c r="F100" s="87"/>
      <c r="G100" s="87"/>
    </row>
    <row r="101" spans="1:7" ht="12.75">
      <c r="A101" s="87" t="s">
        <v>51</v>
      </c>
      <c r="B101" s="4" t="s">
        <v>53</v>
      </c>
      <c r="C101" s="3"/>
      <c r="D101" s="87"/>
      <c r="E101" s="87"/>
      <c r="F101" s="87"/>
      <c r="G101" s="87"/>
    </row>
    <row r="102" spans="1:7" ht="12.75">
      <c r="A102" s="320" t="s">
        <v>1</v>
      </c>
      <c r="B102" s="319" t="s">
        <v>2</v>
      </c>
      <c r="C102" s="318" t="s">
        <v>283</v>
      </c>
      <c r="D102" s="87"/>
      <c r="E102" s="87"/>
      <c r="F102" s="87"/>
      <c r="G102" s="87"/>
    </row>
    <row r="103" spans="1:7" ht="12.75">
      <c r="A103" s="320" t="s">
        <v>89</v>
      </c>
      <c r="B103" s="319" t="s">
        <v>90</v>
      </c>
      <c r="C103" s="318" t="s">
        <v>283</v>
      </c>
      <c r="D103" s="87"/>
      <c r="E103" s="87"/>
      <c r="F103" s="87"/>
      <c r="G103" s="87"/>
    </row>
    <row r="104" spans="1:7" ht="12.75">
      <c r="A104" s="320" t="s">
        <v>7</v>
      </c>
      <c r="B104" s="319" t="s">
        <v>8</v>
      </c>
      <c r="C104" s="318" t="s">
        <v>283</v>
      </c>
      <c r="D104" s="87"/>
      <c r="E104" s="87"/>
      <c r="F104" s="87"/>
      <c r="G104" s="87"/>
    </row>
    <row r="105" spans="1:7" ht="12.75">
      <c r="A105" s="320" t="s">
        <v>279</v>
      </c>
      <c r="B105" s="319" t="s">
        <v>278</v>
      </c>
      <c r="C105" s="318" t="s">
        <v>283</v>
      </c>
      <c r="D105" s="87"/>
      <c r="E105" s="87"/>
      <c r="F105" s="87"/>
      <c r="G105" s="87"/>
    </row>
    <row r="106" spans="1:7" ht="12.75">
      <c r="A106" s="320" t="s">
        <v>37</v>
      </c>
      <c r="B106" s="319" t="s">
        <v>38</v>
      </c>
      <c r="C106" s="318" t="s">
        <v>283</v>
      </c>
      <c r="D106" s="87"/>
      <c r="E106" s="87"/>
      <c r="F106" s="87"/>
      <c r="G106" s="87"/>
    </row>
    <row r="107" spans="1:7" ht="12.75">
      <c r="A107" s="320" t="s">
        <v>211</v>
      </c>
      <c r="B107" s="319" t="s">
        <v>213</v>
      </c>
      <c r="C107" s="318" t="s">
        <v>283</v>
      </c>
      <c r="D107" s="87"/>
      <c r="E107" s="87"/>
      <c r="F107" s="87"/>
      <c r="G107" s="87"/>
    </row>
    <row r="108" spans="1:7" ht="12.75">
      <c r="A108" s="320" t="s">
        <v>212</v>
      </c>
      <c r="B108" s="319" t="s">
        <v>214</v>
      </c>
      <c r="C108" s="318" t="s">
        <v>283</v>
      </c>
      <c r="D108" s="87"/>
      <c r="E108" s="87"/>
      <c r="F108" s="87"/>
      <c r="G108" s="87"/>
    </row>
    <row r="109" spans="1:7" ht="12.75">
      <c r="A109" s="320" t="s">
        <v>274</v>
      </c>
      <c r="B109" s="319" t="s">
        <v>276</v>
      </c>
      <c r="C109" s="318" t="s">
        <v>283</v>
      </c>
      <c r="D109" s="87"/>
      <c r="E109" s="87"/>
      <c r="F109" s="87"/>
      <c r="G109" s="87"/>
    </row>
    <row r="110" spans="1:7" ht="12.75">
      <c r="A110" s="320" t="s">
        <v>297</v>
      </c>
      <c r="B110" s="319" t="s">
        <v>302</v>
      </c>
      <c r="C110" s="318" t="s">
        <v>283</v>
      </c>
      <c r="D110" s="87"/>
      <c r="E110" s="87"/>
      <c r="F110" s="87"/>
      <c r="G110" s="87"/>
    </row>
    <row r="111" spans="1:7" ht="12.75">
      <c r="A111" s="320" t="s">
        <v>520</v>
      </c>
      <c r="B111" s="319" t="s">
        <v>521</v>
      </c>
      <c r="C111" s="318" t="s">
        <v>283</v>
      </c>
      <c r="D111" s="87"/>
      <c r="E111" s="87"/>
      <c r="F111" s="87"/>
      <c r="G111" s="87"/>
    </row>
    <row r="112" spans="1:7" ht="12.75">
      <c r="A112" s="320" t="s">
        <v>275</v>
      </c>
      <c r="B112" s="319" t="s">
        <v>277</v>
      </c>
      <c r="C112" s="318" t="s">
        <v>283</v>
      </c>
      <c r="D112" s="87"/>
      <c r="E112" s="87"/>
      <c r="F112" s="87"/>
      <c r="G112" s="87"/>
    </row>
    <row r="113" spans="1:7" ht="12.75">
      <c r="A113" s="320" t="s">
        <v>20</v>
      </c>
      <c r="B113" s="319" t="s">
        <v>21</v>
      </c>
      <c r="C113" s="318" t="s">
        <v>283</v>
      </c>
      <c r="D113" s="87"/>
      <c r="E113" s="87"/>
      <c r="F113" s="87"/>
      <c r="G113" s="87"/>
    </row>
    <row r="114" spans="1:7" ht="12.75">
      <c r="A114" s="320" t="s">
        <v>22</v>
      </c>
      <c r="B114" s="319" t="s">
        <v>23</v>
      </c>
      <c r="C114" s="318" t="s">
        <v>283</v>
      </c>
      <c r="D114" s="87"/>
      <c r="E114" s="87"/>
      <c r="F114" s="87"/>
      <c r="G114" s="87"/>
    </row>
    <row r="115" spans="1:7" ht="12.75">
      <c r="A115" s="320" t="s">
        <v>27</v>
      </c>
      <c r="B115" s="319" t="s">
        <v>28</v>
      </c>
      <c r="C115" s="318" t="s">
        <v>283</v>
      </c>
      <c r="D115" s="87"/>
      <c r="E115" s="87"/>
      <c r="F115" s="87"/>
      <c r="G115" s="87"/>
    </row>
    <row r="116" spans="1:7" ht="12.75">
      <c r="A116" s="320" t="s">
        <v>416</v>
      </c>
      <c r="B116" s="319" t="s">
        <v>417</v>
      </c>
      <c r="C116" s="318" t="s">
        <v>283</v>
      </c>
      <c r="D116" s="87"/>
      <c r="E116" s="87"/>
      <c r="F116" s="87"/>
      <c r="G116" s="87"/>
    </row>
    <row r="117" spans="1:7" ht="12.75">
      <c r="A117" s="320" t="s">
        <v>281</v>
      </c>
      <c r="B117" s="319" t="s">
        <v>282</v>
      </c>
      <c r="C117" s="318" t="s">
        <v>283</v>
      </c>
      <c r="D117" s="87"/>
      <c r="E117" s="87"/>
      <c r="F117" s="87"/>
      <c r="G117" s="87"/>
    </row>
    <row r="118" spans="1:7" ht="12.75">
      <c r="A118" s="320" t="s">
        <v>273</v>
      </c>
      <c r="B118" s="319" t="s">
        <v>272</v>
      </c>
      <c r="C118" s="318" t="s">
        <v>283</v>
      </c>
      <c r="D118" s="87"/>
      <c r="E118" s="87"/>
      <c r="F118" s="87"/>
      <c r="G118" s="87"/>
    </row>
    <row r="119" spans="1:7" ht="12.75">
      <c r="A119" s="320" t="s">
        <v>12</v>
      </c>
      <c r="B119" s="319" t="s">
        <v>13</v>
      </c>
      <c r="C119" s="318" t="s">
        <v>283</v>
      </c>
      <c r="D119" s="87"/>
      <c r="E119" s="87"/>
      <c r="F119" s="87"/>
      <c r="G119" s="87"/>
    </row>
    <row r="120" spans="1:7" ht="12.75">
      <c r="A120" s="320" t="s">
        <v>18</v>
      </c>
      <c r="B120" s="319" t="s">
        <v>19</v>
      </c>
      <c r="C120" s="318" t="s">
        <v>283</v>
      </c>
      <c r="D120" s="87"/>
      <c r="E120" s="87"/>
      <c r="F120" s="87"/>
      <c r="G120" s="87"/>
    </row>
    <row r="121" spans="1:7" ht="12.75">
      <c r="A121" s="320" t="s">
        <v>105</v>
      </c>
      <c r="B121" s="319" t="str">
        <f>Translations!$B$1453</f>
        <v>Critère rempli</v>
      </c>
      <c r="C121" s="318"/>
      <c r="D121" s="87"/>
      <c r="E121" s="87"/>
      <c r="F121" s="87"/>
      <c r="G121" s="87"/>
    </row>
    <row r="122" spans="1:7" ht="12.75">
      <c r="A122" s="87" t="s">
        <v>221</v>
      </c>
      <c r="B122" s="4" t="s">
        <v>222</v>
      </c>
      <c r="C122" s="3"/>
      <c r="D122" s="87"/>
      <c r="E122" s="87"/>
      <c r="F122" s="87"/>
      <c r="G122" s="87"/>
    </row>
    <row r="123" spans="1:7" ht="12.75">
      <c r="A123" s="87" t="s">
        <v>259</v>
      </c>
      <c r="B123" s="4" t="s">
        <v>437</v>
      </c>
      <c r="C123" s="3"/>
      <c r="D123" s="87"/>
      <c r="E123" s="87"/>
      <c r="F123" s="87"/>
      <c r="G123" s="87"/>
    </row>
    <row r="124" spans="1:7" ht="12.75">
      <c r="A124" s="320" t="s">
        <v>223</v>
      </c>
      <c r="B124" s="4" t="s">
        <v>224</v>
      </c>
      <c r="C124" s="3"/>
      <c r="D124" s="87"/>
      <c r="E124" s="87"/>
      <c r="F124" s="87"/>
      <c r="G124" s="87"/>
    </row>
    <row r="125" spans="1:7" ht="12.75">
      <c r="A125" s="320" t="s">
        <v>4</v>
      </c>
      <c r="B125" s="319" t="s">
        <v>5</v>
      </c>
      <c r="C125" s="318" t="s">
        <v>283</v>
      </c>
      <c r="D125" s="87"/>
      <c r="E125" s="87"/>
      <c r="F125" s="87"/>
      <c r="G125" s="87"/>
    </row>
    <row r="126" spans="1:7" ht="12.75">
      <c r="A126" s="87" t="s">
        <v>545</v>
      </c>
      <c r="B126" s="4" t="s">
        <v>544</v>
      </c>
      <c r="C126" s="3"/>
      <c r="D126" s="87"/>
      <c r="E126" s="87"/>
      <c r="F126" s="87"/>
      <c r="G126" s="87"/>
    </row>
    <row r="127" spans="1:7" ht="12.75">
      <c r="A127" s="87" t="s">
        <v>109</v>
      </c>
      <c r="B127" s="4" t="s">
        <v>110</v>
      </c>
      <c r="C127" s="3"/>
      <c r="D127" s="87"/>
      <c r="E127" s="87"/>
      <c r="F127" s="87"/>
      <c r="G127" s="87"/>
    </row>
    <row r="128" spans="1:7" ht="12.75">
      <c r="A128" s="87" t="s">
        <v>111</v>
      </c>
      <c r="B128" s="4" t="s">
        <v>112</v>
      </c>
      <c r="C128" s="3"/>
      <c r="D128" s="87"/>
      <c r="E128" s="87"/>
      <c r="F128" s="87"/>
      <c r="G128" s="87"/>
    </row>
    <row r="129" spans="1:7" ht="12.75">
      <c r="A129" s="87" t="s">
        <v>113</v>
      </c>
      <c r="B129" s="4" t="s">
        <v>114</v>
      </c>
      <c r="C129" s="3"/>
      <c r="D129" s="87"/>
      <c r="E129" s="87"/>
      <c r="F129" s="87"/>
      <c r="G129" s="87"/>
    </row>
    <row r="130" spans="1:7" ht="12.75">
      <c r="A130" s="87" t="s">
        <v>202</v>
      </c>
      <c r="B130" s="4" t="s">
        <v>200</v>
      </c>
      <c r="C130" s="3"/>
      <c r="D130" s="87"/>
      <c r="E130" s="87"/>
      <c r="F130" s="87"/>
      <c r="G130" s="87"/>
    </row>
    <row r="131" spans="1:7" ht="12.75">
      <c r="A131" s="87" t="s">
        <v>203</v>
      </c>
      <c r="B131" s="4" t="s">
        <v>201</v>
      </c>
      <c r="C131" s="3"/>
      <c r="D131" s="87"/>
      <c r="E131" s="87"/>
      <c r="F131" s="87"/>
      <c r="G131" s="87"/>
    </row>
    <row r="132" spans="1:7" ht="12.75">
      <c r="A132" s="87" t="s">
        <v>353</v>
      </c>
      <c r="B132" s="4" t="s">
        <v>354</v>
      </c>
      <c r="C132" s="3"/>
      <c r="D132" s="87"/>
      <c r="E132" s="87"/>
      <c r="F132" s="87"/>
      <c r="G132" s="87"/>
    </row>
    <row r="133" spans="1:7" ht="12.75">
      <c r="A133" s="87" t="s">
        <v>251</v>
      </c>
      <c r="B133" s="4" t="s">
        <v>250</v>
      </c>
      <c r="C133" s="3"/>
      <c r="D133" s="87"/>
      <c r="E133" s="87"/>
      <c r="F133" s="87"/>
      <c r="G133" s="87"/>
    </row>
    <row r="134" spans="1:7" ht="12.75">
      <c r="A134" s="87" t="s">
        <v>450</v>
      </c>
      <c r="B134" s="4" t="s">
        <v>451</v>
      </c>
      <c r="C134" s="3"/>
      <c r="D134" s="87"/>
      <c r="E134" s="87"/>
      <c r="F134" s="87"/>
      <c r="G134" s="87"/>
    </row>
    <row r="135" spans="1:7" ht="12.75">
      <c r="A135" s="87" t="s">
        <v>483</v>
      </c>
      <c r="B135" s="4" t="s">
        <v>258</v>
      </c>
      <c r="C135" s="3"/>
      <c r="D135" s="87"/>
      <c r="E135" s="87"/>
      <c r="F135" s="87"/>
      <c r="G135" s="87"/>
    </row>
    <row r="136" spans="1:7" ht="12.75">
      <c r="A136" s="87" t="s">
        <v>252</v>
      </c>
      <c r="B136" s="4" t="s">
        <v>253</v>
      </c>
      <c r="C136" s="3"/>
      <c r="D136" s="87"/>
      <c r="E136" s="87"/>
      <c r="F136" s="87"/>
      <c r="G136" s="87"/>
    </row>
    <row r="137" spans="1:7" ht="12.75">
      <c r="A137" s="87" t="s">
        <v>254</v>
      </c>
      <c r="B137" s="4" t="s">
        <v>255</v>
      </c>
      <c r="C137" s="3"/>
      <c r="D137" s="87"/>
      <c r="E137" s="87"/>
      <c r="F137" s="87"/>
      <c r="G137" s="87"/>
    </row>
    <row r="138" spans="1:7" ht="12.75">
      <c r="A138" s="87" t="s">
        <v>98</v>
      </c>
      <c r="B138" s="4" t="s">
        <v>99</v>
      </c>
      <c r="C138" s="3"/>
      <c r="D138" s="87"/>
      <c r="E138" s="87"/>
      <c r="F138" s="87"/>
      <c r="G138" s="87"/>
    </row>
    <row r="139" spans="1:7" ht="12.75">
      <c r="A139" s="87" t="s">
        <v>432</v>
      </c>
      <c r="B139" s="4" t="s">
        <v>433</v>
      </c>
      <c r="C139" s="3"/>
      <c r="D139" s="87"/>
      <c r="E139" s="87"/>
      <c r="F139" s="87"/>
      <c r="G139" s="87"/>
    </row>
    <row r="140" spans="1:7" ht="12.75">
      <c r="A140" s="87" t="s">
        <v>204</v>
      </c>
      <c r="B140" s="4" t="s">
        <v>205</v>
      </c>
      <c r="C140" s="3"/>
      <c r="D140" s="87"/>
      <c r="E140" s="87"/>
      <c r="F140" s="87"/>
      <c r="G140" s="87"/>
    </row>
    <row r="141" spans="1:7" ht="12.75">
      <c r="A141" s="87" t="s">
        <v>100</v>
      </c>
      <c r="B141" s="4" t="s">
        <v>101</v>
      </c>
      <c r="C141" s="3"/>
      <c r="D141" s="87"/>
      <c r="E141" s="87"/>
      <c r="F141" s="87"/>
      <c r="G141" s="87"/>
    </row>
    <row r="142" spans="1:7" ht="12.75">
      <c r="A142" s="87" t="s">
        <v>238</v>
      </c>
      <c r="B142" s="4" t="str">
        <f>Translations!B54</f>
        <v>Méthode A = méthode des pentes</v>
      </c>
      <c r="C142" s="4" t="str">
        <f>Translations!B55</f>
        <v>Méthode B = méthode de la surtension</v>
      </c>
      <c r="D142" s="87"/>
      <c r="E142" s="87"/>
      <c r="F142" s="87"/>
      <c r="G142" s="87"/>
    </row>
    <row r="143" spans="1:7" ht="12.75">
      <c r="A143" s="87" t="s">
        <v>488</v>
      </c>
      <c r="B143" s="4" t="str">
        <f>Translations!B56</f>
        <v>Données de référence</v>
      </c>
      <c r="C143" s="4" t="str">
        <f>Translations!B57</f>
        <v>Proportion du niveau d'activité historique (HAL) (G.I.2.k)</v>
      </c>
      <c r="D143" s="87"/>
      <c r="E143" s="87"/>
      <c r="F143" s="87"/>
      <c r="G143" s="87"/>
    </row>
    <row r="144" spans="1:7" ht="12.75">
      <c r="A144" s="87" t="s">
        <v>352</v>
      </c>
      <c r="B144" s="4" t="str">
        <f>Translations!B58</f>
        <v>incomplet!</v>
      </c>
      <c r="C144" s="3"/>
      <c r="D144" s="87"/>
      <c r="E144" s="87"/>
      <c r="F144" s="87"/>
      <c r="G144" s="87"/>
    </row>
    <row r="145" spans="1:7" ht="12.75">
      <c r="A145" s="87" t="s">
        <v>43</v>
      </c>
      <c r="B145" s="4" t="str">
        <f>Translations!B59</f>
        <v>négatif!</v>
      </c>
      <c r="C145" s="315" t="s">
        <v>458</v>
      </c>
      <c r="D145" s="87"/>
      <c r="E145" s="87"/>
      <c r="F145" s="87"/>
      <c r="G145" s="87"/>
    </row>
    <row r="146" spans="1:7" ht="12.75">
      <c r="A146" s="87" t="s">
        <v>314</v>
      </c>
      <c r="B146" s="4" t="str">
        <f>Translations!B60</f>
        <v>incohérent!</v>
      </c>
      <c r="C146" s="3"/>
      <c r="D146" s="87"/>
      <c r="E146" s="87"/>
      <c r="F146" s="87"/>
      <c r="G146" s="87"/>
    </row>
    <row r="147" spans="1:2" ht="12.75">
      <c r="A147" s="82" t="s">
        <v>300</v>
      </c>
      <c r="B147" s="116" t="str">
        <f>Translations!B61</f>
        <v>O.K.</v>
      </c>
    </row>
    <row r="148" spans="1:2" ht="12.75">
      <c r="A148" s="82" t="s">
        <v>108</v>
      </c>
      <c r="B148" s="116" t="str">
        <f>Translations!B62</f>
        <v>Il manque la date!</v>
      </c>
    </row>
    <row r="149" spans="1:3" ht="12.75">
      <c r="A149" s="82" t="s">
        <v>226</v>
      </c>
      <c r="B149" s="116" t="str">
        <f>Translations!B63</f>
        <v>Saisie manuelle!</v>
      </c>
      <c r="C149" s="315" t="s">
        <v>458</v>
      </c>
    </row>
    <row r="150" spans="1:2" ht="12.75">
      <c r="A150" s="82" t="s">
        <v>261</v>
      </c>
      <c r="B150" s="116" t="str">
        <f>Translations!B64</f>
        <v>Il manque les données relatives au coefficient d'utilisation historique de la capacité (HCUF)!</v>
      </c>
    </row>
    <row r="151" spans="1:3" ht="12.75">
      <c r="A151" s="336" t="s">
        <v>452</v>
      </c>
      <c r="B151" s="330" t="str">
        <f>Translations!$B$1454</f>
        <v>Il manque les données relatives au coefficient d'utilisation historique de la capacité (RCUF)!</v>
      </c>
      <c r="C151" s="315" t="s">
        <v>283</v>
      </c>
    </row>
    <row r="152" spans="1:2" ht="12.75">
      <c r="A152" s="82" t="s">
        <v>484</v>
      </c>
      <c r="B152" s="116" t="str">
        <f>Translations!$B$1455</f>
        <v>0 &lt;= HCUF &lt;=1 !</v>
      </c>
    </row>
    <row r="153" spans="1:2" ht="12.75">
      <c r="A153" s="82" t="s">
        <v>425</v>
      </c>
      <c r="B153" s="116" t="str">
        <f>Translations!$B$1456</f>
        <v>0 &lt;= RCUF &lt;=1 !</v>
      </c>
    </row>
    <row r="154" spans="1:2" ht="12.75">
      <c r="A154" s="82" t="s">
        <v>225</v>
      </c>
      <c r="B154" s="116" t="str">
        <f>Translations!$B$1457</f>
        <v>0 &lt;= rapport &lt;=1 !</v>
      </c>
    </row>
    <row r="155" spans="1:2" ht="12.75">
      <c r="A155" s="82" t="s">
        <v>327</v>
      </c>
      <c r="B155" s="330" t="s">
        <v>316</v>
      </c>
    </row>
    <row r="156" spans="1:7" ht="12.75">
      <c r="A156" s="87" t="s">
        <v>546</v>
      </c>
      <c r="B156" s="4" t="str">
        <f>Translations!B65</f>
        <v>ménages</v>
      </c>
      <c r="C156" s="3"/>
      <c r="D156" s="87"/>
      <c r="E156" s="87"/>
      <c r="F156" s="87"/>
      <c r="G156" s="87"/>
    </row>
    <row r="157" spans="1:7" ht="12.75">
      <c r="A157" s="87" t="s">
        <v>199</v>
      </c>
      <c r="B157" s="4" t="str">
        <f>Translations!B66</f>
        <v>chaleur mesurable hors SEQE</v>
      </c>
      <c r="C157" s="3"/>
      <c r="D157" s="87"/>
      <c r="E157" s="87"/>
      <c r="F157" s="87"/>
      <c r="G157" s="87"/>
    </row>
    <row r="158" spans="1:32" ht="12.75">
      <c r="A158" s="87" t="s">
        <v>139</v>
      </c>
      <c r="B158" s="4" t="str">
        <f>Translations!B108</f>
        <v>Autriche</v>
      </c>
      <c r="C158" s="4" t="str">
        <f>Translations!B109</f>
        <v>Belgique</v>
      </c>
      <c r="D158" s="116" t="str">
        <f>Translations!B110</f>
        <v>Bulgarie</v>
      </c>
      <c r="E158" s="116" t="str">
        <f>Translations!B1010</f>
        <v>Croatie</v>
      </c>
      <c r="F158" s="116" t="str">
        <f>Translations!B111</f>
        <v>Chypre</v>
      </c>
      <c r="G158" s="116" t="str">
        <f>Translations!B112</f>
        <v>République tchèque</v>
      </c>
      <c r="H158" s="116" t="str">
        <f>Translations!B113</f>
        <v>Danemark</v>
      </c>
      <c r="I158" s="116" t="str">
        <f>Translations!B114</f>
        <v>Estonie</v>
      </c>
      <c r="J158" s="116" t="str">
        <f>Translations!B115</f>
        <v>Finlande</v>
      </c>
      <c r="K158" s="116" t="str">
        <f>Translations!B116</f>
        <v>France</v>
      </c>
      <c r="L158" s="116" t="str">
        <f>Translations!B117</f>
        <v>Allemagne</v>
      </c>
      <c r="M158" s="116" t="str">
        <f>Translations!B118</f>
        <v>Grèce</v>
      </c>
      <c r="N158" s="116" t="str">
        <f>Translations!B119</f>
        <v>Hongrie</v>
      </c>
      <c r="O158" s="116" t="str">
        <f>Translations!B120</f>
        <v>Islande</v>
      </c>
      <c r="P158" s="116" t="str">
        <f>Translations!B121</f>
        <v>Irlande</v>
      </c>
      <c r="Q158" s="116" t="str">
        <f>Translations!B122</f>
        <v>Italie</v>
      </c>
      <c r="R158" s="116" t="str">
        <f>Translations!B123</f>
        <v>Lettonie</v>
      </c>
      <c r="S158" s="116" t="str">
        <f>Translations!B124</f>
        <v>Liechtenstein</v>
      </c>
      <c r="T158" s="116" t="str">
        <f>Translations!B125</f>
        <v>Lituanie</v>
      </c>
      <c r="U158" s="116" t="str">
        <f>Translations!B126</f>
        <v>Luxembourg</v>
      </c>
      <c r="V158" s="116" t="str">
        <f>Translations!B127</f>
        <v>Malte</v>
      </c>
      <c r="W158" s="116" t="str">
        <f>Translations!B128</f>
        <v>Pays-Bas</v>
      </c>
      <c r="X158" s="116" t="str">
        <f>Translations!B129</f>
        <v>Norvège</v>
      </c>
      <c r="Y158" s="116" t="str">
        <f>Translations!B130</f>
        <v>Pologne</v>
      </c>
      <c r="Z158" s="116" t="str">
        <f>Translations!B131</f>
        <v>Portugal</v>
      </c>
      <c r="AA158" s="116" t="str">
        <f>Translations!B132</f>
        <v>Roumanie</v>
      </c>
      <c r="AB158" s="116" t="str">
        <f>Translations!B133</f>
        <v>Slovaquie</v>
      </c>
      <c r="AC158" s="116" t="str">
        <f>Translations!B134</f>
        <v>Slovénie</v>
      </c>
      <c r="AD158" s="116" t="str">
        <f>Translations!B135</f>
        <v>Espagne</v>
      </c>
      <c r="AE158" s="116" t="str">
        <f>Translations!B136</f>
        <v>Suède</v>
      </c>
      <c r="AF158" s="116" t="str">
        <f>Translations!B137</f>
        <v>Royaume-Uni</v>
      </c>
    </row>
    <row r="159" spans="1:32" ht="12.75">
      <c r="A159" s="87" t="s">
        <v>140</v>
      </c>
      <c r="B159" s="4" t="s">
        <v>382</v>
      </c>
      <c r="C159" s="4" t="s">
        <v>383</v>
      </c>
      <c r="D159" s="116" t="s">
        <v>384</v>
      </c>
      <c r="E159" s="330" t="s">
        <v>455</v>
      </c>
      <c r="F159" s="116" t="s">
        <v>385</v>
      </c>
      <c r="G159" s="116" t="s">
        <v>386</v>
      </c>
      <c r="H159" s="116" t="s">
        <v>387</v>
      </c>
      <c r="I159" s="116" t="s">
        <v>388</v>
      </c>
      <c r="J159" s="116" t="s">
        <v>389</v>
      </c>
      <c r="K159" s="116" t="s">
        <v>390</v>
      </c>
      <c r="L159" s="116" t="s">
        <v>391</v>
      </c>
      <c r="M159" s="116" t="s">
        <v>392</v>
      </c>
      <c r="N159" s="116" t="s">
        <v>393</v>
      </c>
      <c r="O159" s="116" t="s">
        <v>62</v>
      </c>
      <c r="P159" s="116" t="s">
        <v>394</v>
      </c>
      <c r="Q159" s="116" t="s">
        <v>395</v>
      </c>
      <c r="R159" s="116" t="s">
        <v>396</v>
      </c>
      <c r="S159" s="116" t="s">
        <v>63</v>
      </c>
      <c r="T159" s="116" t="s">
        <v>397</v>
      </c>
      <c r="U159" s="116" t="s">
        <v>398</v>
      </c>
      <c r="V159" s="116" t="s">
        <v>399</v>
      </c>
      <c r="W159" s="116" t="s">
        <v>400</v>
      </c>
      <c r="X159" s="116" t="s">
        <v>64</v>
      </c>
      <c r="Y159" s="116" t="s">
        <v>401</v>
      </c>
      <c r="Z159" s="116" t="s">
        <v>402</v>
      </c>
      <c r="AA159" s="116" t="s">
        <v>403</v>
      </c>
      <c r="AB159" s="116" t="s">
        <v>404</v>
      </c>
      <c r="AC159" s="116" t="s">
        <v>405</v>
      </c>
      <c r="AD159" s="116" t="s">
        <v>406</v>
      </c>
      <c r="AE159" s="116" t="s">
        <v>295</v>
      </c>
      <c r="AF159" s="116" t="s">
        <v>296</v>
      </c>
    </row>
    <row r="160" spans="1:7" ht="12.75">
      <c r="A160" s="87" t="s">
        <v>444</v>
      </c>
      <c r="B160" s="4" t="str">
        <f>Translations!B67</f>
        <v>Module simple applicable à la chaleur (E.II.1)</v>
      </c>
      <c r="C160" s="3"/>
      <c r="D160" s="87"/>
      <c r="E160" s="87"/>
      <c r="F160" s="87"/>
      <c r="G160" s="87"/>
    </row>
    <row r="161" spans="1:7" ht="12.75">
      <c r="A161" s="87" t="s">
        <v>438</v>
      </c>
      <c r="B161" s="4" t="str">
        <f>Translations!B68</f>
        <v>Module complexe applicable à la chaleur (E.II.2)</v>
      </c>
      <c r="C161" s="3"/>
      <c r="D161" s="87"/>
      <c r="E161" s="87"/>
      <c r="F161" s="87"/>
      <c r="G161" s="87"/>
    </row>
    <row r="162" spans="1:7" ht="12.75">
      <c r="A162" s="87" t="s">
        <v>439</v>
      </c>
      <c r="B162" s="4" t="str">
        <f>Translations!B69</f>
        <v>Module simple applicable à la chaleur (E.II.1)</v>
      </c>
      <c r="C162" s="4" t="str">
        <f>EUconst_HeatToolComplex</f>
        <v>Module complexe applicable à la chaleur (E.II.2)</v>
      </c>
      <c r="D162" s="87"/>
      <c r="E162" s="87"/>
      <c r="F162" s="87"/>
      <c r="G162" s="87"/>
    </row>
    <row r="163" spans="1:7" ht="12.75">
      <c r="A163" s="320" t="s">
        <v>271</v>
      </c>
      <c r="B163" s="319" t="str">
        <f>Translations!$B$1458</f>
        <v>Modification la plus récente</v>
      </c>
      <c r="C163" s="315" t="s">
        <v>283</v>
      </c>
      <c r="D163" s="87"/>
      <c r="E163" s="87"/>
      <c r="F163" s="87"/>
      <c r="G163" s="87"/>
    </row>
    <row r="164" spans="1:7" ht="12.75">
      <c r="A164" s="87" t="s">
        <v>132</v>
      </c>
      <c r="B164" s="4" t="str">
        <f>Translations!B70</f>
        <v>expérimental</v>
      </c>
      <c r="C164" s="3"/>
      <c r="D164" s="87"/>
      <c r="E164" s="87"/>
      <c r="F164" s="87"/>
      <c r="G164" s="87"/>
    </row>
    <row r="165" spans="1:7" ht="12.75">
      <c r="A165" s="87" t="s">
        <v>133</v>
      </c>
      <c r="B165" s="4" t="str">
        <f>Translations!B71</f>
        <v>point a)</v>
      </c>
      <c r="C165" s="3"/>
      <c r="D165" s="319"/>
      <c r="E165" s="87"/>
      <c r="F165" s="87"/>
      <c r="G165" s="87"/>
    </row>
    <row r="166" spans="1:8" ht="12.75">
      <c r="A166" s="320" t="s">
        <v>35</v>
      </c>
      <c r="B166" s="319" t="str">
        <f>Translations!$B$1459</f>
        <v>NIM 2005-2008</v>
      </c>
      <c r="C166" s="319" t="str">
        <f>Translations!$B$1460</f>
        <v>Vérification expérimentale NIM:</v>
      </c>
      <c r="D166" s="319" t="str">
        <f>Translations!$B$1461</f>
        <v>Article 9, paragraphe 6, NIM:</v>
      </c>
      <c r="E166" s="319" t="str">
        <f>Translations!$B$1462</f>
        <v>Article 9, paragraphe 9, NIM:</v>
      </c>
      <c r="F166" s="319" t="str">
        <f>Translations!$B$1149</f>
        <v>Dernière modification  Article 17, paragraphe 4</v>
      </c>
      <c r="G166" s="319" t="str">
        <f>Translations!$B$1136</f>
        <v>Nouvelle sous-installation</v>
      </c>
      <c r="H166" s="315" t="s">
        <v>283</v>
      </c>
    </row>
    <row r="167" spans="1:7" ht="12.75" customHeight="1">
      <c r="A167" s="320" t="s">
        <v>230</v>
      </c>
      <c r="B167" s="319" t="str">
        <f>Translations!$B$1463</f>
        <v>a) L’autorisation d’émettre des gaz à effet de serre, l’autorisation en vigueur conformément à la directive 2008/1/CE ou toute autre autorisation environnementale pertinente est arrivée à expiration</v>
      </c>
      <c r="C167" s="319" t="str">
        <f>Translations!$B$1464</f>
        <v>b) Une des autorisations visées au point a) a été retirée</v>
      </c>
      <c r="D167" s="319" t="str">
        <f>Translations!$B$1465</f>
        <v>c) L’exploitation de l’installation est techniquement impossible</v>
      </c>
      <c r="E167" s="319" t="str">
        <f>Translations!$B$1466</f>
        <v>d) L’installation n’est pas en activité, mais l’a été précédemment, et la reprise des activités est techniquement impossible</v>
      </c>
      <c r="F167" s="319" t="str">
        <f>Translations!$B$1467</f>
        <v>e) L’installation n’est pas en activité, mais l’a été précédemment, et l’exploitant n’est pas en mesure d’établir que l’exploitation reprendra dans les six mois suivant la cessation des activités.</v>
      </c>
      <c r="G167" s="315" t="s">
        <v>283</v>
      </c>
    </row>
    <row r="168" spans="1:7" ht="12.75">
      <c r="A168" s="320" t="s">
        <v>227</v>
      </c>
      <c r="B168" s="319" t="str">
        <f>Translations!$B$1468</f>
        <v>aucune cessation partielle applicable pour l'année indiquée !</v>
      </c>
      <c r="C168" s="315" t="s">
        <v>283</v>
      </c>
      <c r="D168" s="87"/>
      <c r="E168" s="87"/>
      <c r="F168" s="87"/>
      <c r="G168" s="87"/>
    </row>
    <row r="169" spans="1:7" ht="12.75">
      <c r="A169" s="320" t="s">
        <v>284</v>
      </c>
      <c r="B169" s="319" t="str">
        <f>Translations!$B$1469</f>
        <v>augmentation de la capacité &lt; 10 %</v>
      </c>
      <c r="C169" s="315" t="s">
        <v>283</v>
      </c>
      <c r="D169" s="87"/>
      <c r="E169" s="87"/>
      <c r="F169" s="87"/>
      <c r="G169" s="87"/>
    </row>
    <row r="170" spans="1:7" ht="12.75">
      <c r="A170" s="320" t="s">
        <v>88</v>
      </c>
      <c r="B170" s="319" t="str">
        <f>Translations!$B$1470</f>
        <v>diminution de la capacité &lt; 10 %</v>
      </c>
      <c r="C170" s="315" t="s">
        <v>283</v>
      </c>
      <c r="D170" s="87"/>
      <c r="E170" s="87"/>
      <c r="F170" s="87"/>
      <c r="G170" s="87"/>
    </row>
    <row r="171" spans="1:7" ht="12.75">
      <c r="A171" s="320" t="s">
        <v>280</v>
      </c>
      <c r="B171" s="319" t="str">
        <f>Translations!$B$1471</f>
        <v>Le seuil des 40 % n'est pas atteint</v>
      </c>
      <c r="C171" s="315" t="s">
        <v>283</v>
      </c>
      <c r="D171" s="87"/>
      <c r="E171" s="87"/>
      <c r="F171" s="87"/>
      <c r="G171" s="87"/>
    </row>
    <row r="172" spans="1:7" ht="12.75">
      <c r="A172" s="320" t="s">
        <v>228</v>
      </c>
      <c r="B172" s="319" t="str">
        <f>Translations!$B$1472</f>
        <v>Une seule première sous-installation !</v>
      </c>
      <c r="C172" s="315" t="s">
        <v>283</v>
      </c>
      <c r="D172" s="87"/>
      <c r="E172" s="87"/>
      <c r="F172" s="87"/>
      <c r="G172" s="87"/>
    </row>
    <row r="173" spans="1:7" ht="12.75">
      <c r="A173" s="320" t="s">
        <v>229</v>
      </c>
      <c r="B173" s="319" t="str">
        <f>Translations!$B$1473</f>
        <v>Sélectionnez au moins une nouvelle sous-installation !</v>
      </c>
      <c r="C173" s="315" t="s">
        <v>283</v>
      </c>
      <c r="D173" s="87"/>
      <c r="E173" s="87"/>
      <c r="F173" s="87"/>
      <c r="G173" s="87"/>
    </row>
    <row r="174" spans="1:7" ht="12.75">
      <c r="A174" s="320" t="s">
        <v>424</v>
      </c>
      <c r="B174" s="319" t="str">
        <f>Translations!$B$1474</f>
        <v>Veuillez choisir le type de modification pour la présente demande !</v>
      </c>
      <c r="C174" s="315" t="s">
        <v>283</v>
      </c>
      <c r="D174" s="87"/>
      <c r="E174" s="87"/>
      <c r="F174" s="87"/>
      <c r="G174" s="87"/>
    </row>
    <row r="175" spans="1:7" ht="12.75">
      <c r="A175" s="87" t="s">
        <v>131</v>
      </c>
      <c r="B175" s="319" t="str">
        <f>Translations!$B$1475</f>
        <v>Répondre obligatoirement aux questions b) et d)!</v>
      </c>
      <c r="C175" s="3"/>
      <c r="D175" s="87"/>
      <c r="E175" s="87"/>
      <c r="F175" s="87"/>
      <c r="G175" s="87"/>
    </row>
    <row r="176" spans="1:7" ht="12.75">
      <c r="A176" s="87" t="s">
        <v>106</v>
      </c>
      <c r="B176" s="319" t="str">
        <f>Translations!$B$1476</f>
        <v>Répondre obligatoirement à la question e) de la rubrique A.II.2!</v>
      </c>
      <c r="C176" s="3"/>
      <c r="D176" s="87"/>
      <c r="E176" s="87"/>
      <c r="F176" s="87"/>
      <c r="G176" s="87"/>
    </row>
    <row r="177" spans="1:7" ht="12.75">
      <c r="A177" s="87" t="s">
        <v>130</v>
      </c>
      <c r="B177" s="319" t="str">
        <f>Translations!B1595</f>
        <v>Répondre obligatoirement à la question f) de la rubrique A.I!</v>
      </c>
      <c r="C177" s="3"/>
      <c r="D177" s="87"/>
      <c r="E177" s="87"/>
      <c r="F177" s="87"/>
      <c r="G177" s="87"/>
    </row>
    <row r="178" spans="1:7" ht="12.75">
      <c r="A178" s="320" t="s">
        <v>303</v>
      </c>
      <c r="B178" s="319" t="str">
        <f>Translations!$B$1478</f>
        <v>Aucune modification significative de la capacité au sens de l'article 3, points i) et j), des CIM!</v>
      </c>
      <c r="C178" s="315" t="s">
        <v>283</v>
      </c>
      <c r="D178" s="87"/>
      <c r="E178" s="87"/>
      <c r="F178" s="87"/>
      <c r="G178" s="87"/>
    </row>
    <row r="179" spans="1:7" ht="12.75">
      <c r="A179" s="320" t="s">
        <v>232</v>
      </c>
      <c r="B179" s="319" t="str">
        <f>Translations!$B$1479</f>
        <v>Le point e) ne s'applique pas aux installations de réserve ou de secours fonctionnant de façon saisonnière.</v>
      </c>
      <c r="C179" s="315" t="s">
        <v>283</v>
      </c>
      <c r="D179" s="87"/>
      <c r="E179" s="87"/>
      <c r="F179" s="87"/>
      <c r="G179" s="87"/>
    </row>
    <row r="180" spans="1:7" ht="12.75">
      <c r="A180" s="87" t="s">
        <v>134</v>
      </c>
      <c r="B180" s="4" t="str">
        <f>Translations!B72</f>
        <v>La dénomination d'au moins une sous-installation a été saisie plusieurs fois. Veuillez corriger!</v>
      </c>
      <c r="C180" s="3"/>
      <c r="D180" s="87"/>
      <c r="E180" s="87"/>
      <c r="F180" s="87"/>
      <c r="G180" s="87"/>
    </row>
    <row r="181" spans="1:7" ht="12.75">
      <c r="A181" s="87" t="s">
        <v>135</v>
      </c>
      <c r="B181" s="4" t="str">
        <f>Translations!B73</f>
        <v>Sélectionner au moins une sous-installation à la section III.1 ou III.2!</v>
      </c>
      <c r="C181" s="3"/>
      <c r="D181" s="87"/>
      <c r="E181" s="87"/>
      <c r="F181" s="87"/>
      <c r="G181" s="87"/>
    </row>
    <row r="182" spans="1:7" ht="12.75">
      <c r="A182" s="87" t="s">
        <v>136</v>
      </c>
      <c r="B182" s="4" t="str">
        <f>Translations!B74</f>
        <v>Indiquer pour chaque sous-installation si cela est pertinent ou non!</v>
      </c>
      <c r="C182" s="3"/>
      <c r="D182" s="87"/>
      <c r="E182" s="87"/>
      <c r="F182" s="87"/>
      <c r="G182" s="87"/>
    </row>
    <row r="183" spans="1:7" ht="12.75">
      <c r="A183" s="87" t="s">
        <v>418</v>
      </c>
      <c r="B183" s="4" t="str">
        <f>Translations!B75</f>
        <v>Introduire les informations indiquées aux points b) et c) ci-dessus!</v>
      </c>
      <c r="C183" s="3"/>
      <c r="D183" s="87"/>
      <c r="E183" s="87"/>
      <c r="F183" s="87"/>
      <c r="G183" s="87"/>
    </row>
    <row r="184" spans="1:7" ht="12.75">
      <c r="A184" s="87" t="s">
        <v>419</v>
      </c>
      <c r="B184" s="4" t="str">
        <f>Translations!B76</f>
        <v>Introduire des données détaillées sur les flux à partir de la section II ci-après!</v>
      </c>
      <c r="C184" s="3"/>
      <c r="D184" s="87"/>
      <c r="E184" s="87"/>
      <c r="F184" s="87"/>
      <c r="G184" s="87"/>
    </row>
    <row r="185" spans="1:7" ht="12.75">
      <c r="A185" s="87" t="s">
        <v>420</v>
      </c>
      <c r="B185" s="4" t="str">
        <f>Translations!B77</f>
        <v>Introduire maintenant les données sur les émissions totales dans la section D.I.2 de la feuille «D_Emissions!</v>
      </c>
      <c r="C185" s="3"/>
      <c r="D185" s="87"/>
      <c r="E185" s="87"/>
      <c r="F185" s="87"/>
      <c r="G185" s="87"/>
    </row>
    <row r="186" spans="1:7" ht="12.75">
      <c r="A186" s="87" t="s">
        <v>234</v>
      </c>
      <c r="B186" s="4" t="str">
        <f>Translations!B78</f>
        <v>Introduire aussi les données requises dans la section E.II.4!</v>
      </c>
      <c r="C186" s="3"/>
      <c r="D186" s="87"/>
      <c r="E186" s="87"/>
      <c r="F186" s="87"/>
      <c r="G186" s="87"/>
    </row>
    <row r="187" spans="1:7" ht="12.75">
      <c r="A187" s="87" t="s">
        <v>233</v>
      </c>
      <c r="B187" s="4" t="str">
        <f>Translations!B79</f>
        <v>Introduire aussi les données requises dans la section D.II.3.a!</v>
      </c>
      <c r="C187" s="3"/>
      <c r="D187" s="87"/>
      <c r="E187" s="87"/>
      <c r="F187" s="87"/>
      <c r="G187" s="87"/>
    </row>
    <row r="188" spans="1:7" ht="12.75">
      <c r="A188" s="87" t="s">
        <v>309</v>
      </c>
      <c r="B188" s="4" t="str">
        <f>Translations!B80</f>
        <v>Des instructions détaillées concernant la saisie des données dans ce module figurent dans la première partie de ce module. </v>
      </c>
      <c r="C188" s="3"/>
      <c r="D188" s="87"/>
      <c r="E188" s="87"/>
      <c r="F188" s="87"/>
      <c r="G188" s="87"/>
    </row>
    <row r="189" spans="1:7" ht="12.75">
      <c r="A189" s="87" t="s">
        <v>310</v>
      </c>
      <c r="B189" s="4" t="str">
        <f>Translations!B81</f>
        <v>Passer à la feuille «F_ProductBM!</v>
      </c>
      <c r="C189" s="3"/>
      <c r="D189" s="87"/>
      <c r="E189" s="87"/>
      <c r="F189" s="87"/>
      <c r="G189" s="87"/>
    </row>
    <row r="190" spans="1:7" ht="12.75">
      <c r="A190" s="87" t="s">
        <v>311</v>
      </c>
      <c r="B190" s="4" t="str">
        <f>Translations!B82</f>
        <v>Passer à la section E.II.2</v>
      </c>
      <c r="C190" s="3"/>
      <c r="D190" s="87"/>
      <c r="E190" s="87"/>
      <c r="F190" s="87"/>
      <c r="G190" s="87"/>
    </row>
    <row r="191" spans="1:7" ht="12.75">
      <c r="A191" s="87" t="s">
        <v>312</v>
      </c>
      <c r="B191" s="4" t="str">
        <f>Translations!B83</f>
        <v>Passer aux points ci-dessous</v>
      </c>
      <c r="C191" s="3"/>
      <c r="D191" s="87"/>
      <c r="E191" s="87"/>
      <c r="F191" s="87"/>
      <c r="G191" s="87"/>
    </row>
    <row r="192" spans="1:7" ht="12.75">
      <c r="A192" s="87" t="s">
        <v>236</v>
      </c>
      <c r="B192" s="4" t="str">
        <f>Translations!B84</f>
        <v>Utiliser le module applicable à l'interchangeabilité de l'électricité</v>
      </c>
      <c r="C192" s="3"/>
      <c r="D192" s="87"/>
      <c r="E192" s="87"/>
      <c r="F192" s="87"/>
      <c r="G192" s="87"/>
    </row>
    <row r="193" spans="1:7" ht="12.75">
      <c r="A193" s="87" t="s">
        <v>333</v>
      </c>
      <c r="B193" s="4" t="str">
        <f>Translations!B85</f>
        <v>Passer au point d) ci-dessous.</v>
      </c>
      <c r="C193" s="3"/>
      <c r="D193" s="87"/>
      <c r="E193" s="87"/>
      <c r="F193" s="87"/>
      <c r="G193" s="87"/>
    </row>
    <row r="194" spans="1:7" ht="12.75">
      <c r="A194" s="87" t="s">
        <v>334</v>
      </c>
      <c r="B194" s="4" t="str">
        <f>Translations!B86</f>
        <v>Si non pertinent pour votre installation, passer aux points suivants.</v>
      </c>
      <c r="C194" s="3"/>
      <c r="D194" s="87"/>
      <c r="E194" s="87"/>
      <c r="F194" s="87"/>
      <c r="G194" s="87"/>
    </row>
    <row r="195" spans="1:7" ht="12.75">
      <c r="A195" s="87" t="s">
        <v>337</v>
      </c>
      <c r="B195" s="4" t="str">
        <f>Translations!B87</f>
        <v>Les dates doivent être classées de la plus ancienne à la plus récente!</v>
      </c>
      <c r="C195" s="3"/>
      <c r="D195" s="87"/>
      <c r="E195" s="87"/>
      <c r="F195" s="87"/>
      <c r="G195" s="87"/>
    </row>
    <row r="196" spans="1:7" ht="12.75">
      <c r="A196" s="87" t="s">
        <v>338</v>
      </c>
      <c r="B196" s="4" t="str">
        <f>Translations!B88</f>
        <v>La date de début doit être postérieure au 30 juin 2011!</v>
      </c>
      <c r="C196" s="3"/>
      <c r="D196" s="87"/>
      <c r="E196" s="87"/>
      <c r="F196" s="87"/>
      <c r="G196" s="87"/>
    </row>
    <row r="197" spans="1:7" ht="12.75">
      <c r="A197" s="87" t="s">
        <v>103</v>
      </c>
      <c r="B197" s="4" t="str">
        <f>Translations!B89</f>
        <v>Toutes les dates doivent être postérieures au 30 juin 2011!</v>
      </c>
      <c r="C197" s="3"/>
      <c r="D197" s="87"/>
      <c r="E197" s="87"/>
      <c r="F197" s="87"/>
      <c r="G197" s="87"/>
    </row>
    <row r="198" spans="1:7" ht="12.75">
      <c r="A198" s="87" t="s">
        <v>339</v>
      </c>
      <c r="B198" s="4" t="str">
        <f>Translations!B90</f>
        <v>Il manque la date de début!</v>
      </c>
      <c r="C198" s="3"/>
      <c r="D198" s="87"/>
      <c r="E198" s="87"/>
      <c r="F198" s="87"/>
      <c r="G198" s="87"/>
    </row>
    <row r="199" spans="1:7" ht="12.75">
      <c r="A199" s="87" t="s">
        <v>409</v>
      </c>
      <c r="B199" s="319" t="str">
        <f>Translations!$B$1480</f>
        <v>Il manque l'activité (A.I.3.a)!</v>
      </c>
      <c r="C199" s="3"/>
      <c r="D199" s="87"/>
      <c r="E199" s="87"/>
      <c r="F199" s="87"/>
      <c r="G199" s="87"/>
    </row>
    <row r="200" spans="1:7" ht="12.75">
      <c r="A200" s="87" t="s">
        <v>441</v>
      </c>
      <c r="B200" s="4" t="str">
        <f>Translations!B91</f>
        <v>Entrer des données dans cette section!</v>
      </c>
      <c r="C200" s="3"/>
      <c r="D200" s="87"/>
      <c r="E200" s="87"/>
      <c r="F200" s="87"/>
      <c r="G200" s="87"/>
    </row>
    <row r="201" spans="1:7" ht="12.75">
      <c r="A201" s="87" t="s">
        <v>104</v>
      </c>
      <c r="B201" s="319" t="str">
        <f>Translations!$B$336</f>
        <v>&lt;&lt;&lt; Cliquer ici pour passer à la feuille suivante &gt;&gt;&gt; </v>
      </c>
      <c r="C201" s="3"/>
      <c r="D201" s="87"/>
      <c r="E201" s="87"/>
      <c r="F201" s="87"/>
      <c r="G201" s="87"/>
    </row>
    <row r="202" spans="1:7" ht="12.75">
      <c r="A202" s="87" t="s">
        <v>442</v>
      </c>
      <c r="B202" s="4" t="str">
        <f>Translations!B92</f>
        <v>Passer à la sous-installation suivante!</v>
      </c>
      <c r="C202" s="3"/>
      <c r="D202" s="87"/>
      <c r="E202" s="87"/>
      <c r="F202" s="87"/>
      <c r="G202" s="87"/>
    </row>
    <row r="203" spans="1:7" ht="12.75">
      <c r="A203" s="87" t="s">
        <v>443</v>
      </c>
      <c r="B203" s="4" t="str">
        <f>Translations!B93</f>
        <v>Cliquer ici pour revenir à la feuille «F_ProductBM</v>
      </c>
      <c r="C203" s="3"/>
      <c r="D203" s="87"/>
      <c r="E203" s="87"/>
      <c r="F203" s="87"/>
      <c r="G203" s="87"/>
    </row>
    <row r="204" spans="1:7" ht="12.75">
      <c r="A204" s="87" t="s">
        <v>489</v>
      </c>
      <c r="B204" s="4" t="str">
        <f>Translations!B94</f>
        <v>Saisir maintenant les données aux points c) et d)!</v>
      </c>
      <c r="C204" s="3"/>
      <c r="D204" s="87"/>
      <c r="E204" s="87"/>
      <c r="F204" s="87"/>
      <c r="G204" s="87"/>
    </row>
    <row r="205" spans="1:7" ht="12.75">
      <c r="A205" s="87" t="s">
        <v>490</v>
      </c>
      <c r="B205" s="4" t="str">
        <f>Translations!B95</f>
        <v>Passer au point e)!</v>
      </c>
      <c r="C205" s="3"/>
      <c r="D205" s="87"/>
      <c r="E205" s="87"/>
      <c r="F205" s="87"/>
      <c r="G205" s="87"/>
    </row>
    <row r="206" spans="1:7" ht="12.75">
      <c r="A206" s="87" t="s">
        <v>86</v>
      </c>
      <c r="B206" s="4" t="str">
        <f>Translations!B96</f>
        <v>L'article 9, paragraphe 6, des CIM (mesures communautaires d'application) doit être appliqué!</v>
      </c>
      <c r="C206" s="3"/>
      <c r="D206" s="87"/>
      <c r="E206" s="87"/>
      <c r="F206" s="87"/>
      <c r="G206" s="87"/>
    </row>
    <row r="207" spans="1:7" ht="12.75">
      <c r="A207" s="320" t="s">
        <v>522</v>
      </c>
      <c r="B207" s="319" t="str">
        <f>Translations!$B$1321</f>
        <v>Quantité pertinente de pâte à papier mise sur le marché:</v>
      </c>
      <c r="C207" s="3"/>
      <c r="D207" s="87"/>
      <c r="E207" s="87"/>
      <c r="F207" s="87"/>
      <c r="G207" s="87"/>
    </row>
    <row r="208" spans="1:7" ht="12.75">
      <c r="A208" s="320" t="s">
        <v>269</v>
      </c>
      <c r="B208" s="319" t="str">
        <f>Translations!$B$1322</f>
        <v>Quantité pertinente de pâte à papier produite</v>
      </c>
      <c r="C208" s="3"/>
      <c r="D208" s="87"/>
      <c r="E208" s="87"/>
      <c r="F208" s="87"/>
      <c r="G208" s="87"/>
    </row>
    <row r="209" spans="1:7" ht="12.75">
      <c r="A209" s="320" t="s">
        <v>553</v>
      </c>
      <c r="B209" s="319" t="str">
        <f>Translations!$B$1496</f>
        <v>Répondre obligatoirement à la question a) de la rubrique A.I!</v>
      </c>
      <c r="C209" s="3"/>
      <c r="D209" s="87"/>
      <c r="E209" s="87"/>
      <c r="F209" s="87"/>
      <c r="G209" s="87"/>
    </row>
    <row r="210" spans="1:7" ht="12.75">
      <c r="A210" s="320" t="s">
        <v>554</v>
      </c>
      <c r="B210" s="319" t="str">
        <f>Translations!$B$1497</f>
        <v>L’exploitant a confirmé que cette demande concerne exclusivement les modifications apportées aux limites de l’installation et aux autorisations existantes; il a également confirmé qu’il n'y a eu aucune modification physique.</v>
      </c>
      <c r="C210" s="3"/>
      <c r="D210" s="87"/>
      <c r="E210" s="87"/>
      <c r="F210" s="87"/>
      <c r="G210" s="87"/>
    </row>
    <row r="211" spans="1:7" ht="12.75">
      <c r="A211" s="320" t="s">
        <v>564</v>
      </c>
      <c r="B211" s="319" t="str">
        <f>Translations!B1585</f>
        <v>Fusion</v>
      </c>
      <c r="C211" s="364" t="str">
        <f>Translations!B1586</f>
        <v>Scission</v>
      </c>
      <c r="D211" s="320" t="str">
        <f>Translations!B1587</f>
        <v>Transfert de parties d'installations</v>
      </c>
      <c r="E211" s="87"/>
      <c r="F211" s="87"/>
      <c r="G211" s="87"/>
    </row>
    <row r="212" spans="1:7" ht="12.75">
      <c r="A212" s="320" t="s">
        <v>567</v>
      </c>
      <c r="B212" s="319" t="str">
        <f>Translations!B1593</f>
        <v>La somme des allocations mentionnées aux sections III. 1 et III. 2 ci-après dépasse l'allocation initiale avant la fusion ou la scission! </v>
      </c>
      <c r="C212" s="87"/>
      <c r="D212" s="87"/>
      <c r="E212" s="87"/>
      <c r="F212" s="87"/>
      <c r="G212" s="87"/>
    </row>
    <row r="213" spans="1:7" ht="12.75">
      <c r="A213" s="87"/>
      <c r="B213" s="87"/>
      <c r="C213" s="87"/>
      <c r="D213" s="87"/>
      <c r="E213" s="87"/>
      <c r="F213" s="87"/>
      <c r="G213" s="87"/>
    </row>
    <row r="214" s="118" customFormat="1" ht="12.75">
      <c r="A214" s="118" t="s">
        <v>298</v>
      </c>
    </row>
    <row r="215" spans="1:13" s="92" customFormat="1" ht="12.75">
      <c r="A215" s="119" t="s">
        <v>262</v>
      </c>
      <c r="B215" s="119" t="s">
        <v>535</v>
      </c>
      <c r="C215" s="119"/>
      <c r="D215" s="119"/>
      <c r="E215" s="119"/>
      <c r="F215" s="119"/>
      <c r="G215" s="119"/>
      <c r="H215" s="119"/>
      <c r="I215" s="119"/>
      <c r="J215" s="119"/>
      <c r="K215" s="119"/>
      <c r="L215" s="119"/>
      <c r="M215" s="119"/>
    </row>
    <row r="216" spans="1:4" s="89" customFormat="1" ht="12.75">
      <c r="A216" s="89">
        <v>1</v>
      </c>
      <c r="B216" s="119" t="str">
        <f>IF(LEN(Translations!B138)&gt;250,LEFT(Translations!B138,250),Translations!B138)</f>
        <v>Combustion de combustibles dans des installations dont la puissance calorifique totale de combustion est supérieure à 20 MW (à l’exception des installations d’incinération de déchets dangereux ou municipaux)</v>
      </c>
      <c r="D216" s="92"/>
    </row>
    <row r="217" spans="1:2" s="92" customFormat="1" ht="12.75">
      <c r="A217" s="92">
        <v>2</v>
      </c>
      <c r="B217" s="119" t="str">
        <f>IF(LEN(Translations!B139)&gt;250,LEFT(Translations!B139,250),Translations!B139)</f>
        <v>Raffinage de pétrole </v>
      </c>
    </row>
    <row r="218" spans="1:2" s="92" customFormat="1" ht="12.75">
      <c r="A218" s="92">
        <v>3</v>
      </c>
      <c r="B218" s="119" t="str">
        <f>IF(LEN(Translations!B140)&gt;250,LEFT(Translations!B140,250),Translations!B140)</f>
        <v>Production de coke </v>
      </c>
    </row>
    <row r="219" spans="1:2" s="92" customFormat="1" ht="12.75">
      <c r="A219" s="92">
        <v>4</v>
      </c>
      <c r="B219" s="119" t="str">
        <f>IF(LEN(Translations!B141)&gt;250,LEFT(Translations!B141,250),Translations!B141)</f>
        <v>Grillage ou frittage, y compris pelletisation, de minerai métallique (y compris de minerai sulfuré) </v>
      </c>
    </row>
    <row r="220" spans="1:2" s="92" customFormat="1" ht="12.75">
      <c r="A220" s="92">
        <v>5</v>
      </c>
      <c r="B220" s="119" t="str">
        <f>IF(LEN(Translations!B142)&gt;250,LEFT(Translations!B142,250),Translations!B142)</f>
        <v>Production de fonte ou d'acier (fusion primaire ou secondaire), y compris les équipements pour coulée continue d'une capacité de plus de 2,5 tonnes par heure </v>
      </c>
    </row>
    <row r="221" spans="1:2" s="92" customFormat="1" ht="12.75">
      <c r="A221" s="92">
        <v>6</v>
      </c>
      <c r="B221" s="119" t="str">
        <f>IF(LEN(Translations!B143)&gt;250,LEFT(Translations!B143,250),Translations!B143)</f>
        <v>Production ou transformation de métaux ferreux (y compris les ferro-alliages) lorsque des unités de combustion dont la puissance calorifique totale de combustion est supérieure à 20 MW sont exploitées. La transformation comprend, notamment, les lamin</v>
      </c>
    </row>
    <row r="222" spans="1:2" s="92" customFormat="1" ht="12.75">
      <c r="A222" s="92">
        <v>7</v>
      </c>
      <c r="B222" s="119" t="str">
        <f>IF(LEN(Translations!B144)&gt;250,LEFT(Translations!B144,250),Translations!B144)</f>
        <v>Production d’aluminium primaire </v>
      </c>
    </row>
    <row r="223" spans="1:2" s="92" customFormat="1" ht="12.75">
      <c r="A223" s="92">
        <v>8</v>
      </c>
      <c r="B223" s="119" t="str">
        <f>IF(LEN(Translations!B145)&gt;250,LEFT(Translations!B145,250),Translations!B145)</f>
        <v>Production d’aluminium secondaire, lorsque des unités de combustion dont la puissance calorifique totale de combustion est supérieure à 20 MW sont exploitées</v>
      </c>
    </row>
    <row r="224" spans="1:2" s="92" customFormat="1" ht="12.75">
      <c r="A224" s="92">
        <v>9</v>
      </c>
      <c r="B224" s="119" t="str">
        <f>IF(LEN(Translations!B146)&gt;250,LEFT(Translations!B146,250),Translations!B146)</f>
        <v>Production ou transformation de métaux non ferreux, y compris la production d’alliages, l’affinage, le moulage en fonderie, etc., lorsque des unités de combustion dont la puissance calorifique totale de combustion (y compris les combustibles utilisés</v>
      </c>
    </row>
    <row r="225" spans="1:2" s="92" customFormat="1" ht="12.75">
      <c r="A225" s="92">
        <v>10</v>
      </c>
      <c r="B225" s="119" t="str">
        <f>IF(LEN(Translations!B147)&gt;250,LEFT(Translations!B147,250),Translations!B147)</f>
        <v>Production de clinker (ciment) dans des fours rotatifs avec une capacité de production supérieure à 500 tonnes par jour, ou dans d’autres types de fours, avec une capacité de production supérieure à 50 tonnes par jour </v>
      </c>
    </row>
    <row r="226" spans="1:2" s="92" customFormat="1" ht="12.75">
      <c r="A226" s="92">
        <v>11</v>
      </c>
      <c r="B226" s="119" t="str">
        <f>IF(LEN(Translations!B148)&gt;250,LEFT(Translations!B148,250),Translations!B148)</f>
        <v>Production de chaux, y compris la calcination de dolomite et de magnésite, dans des fours rotatifs ou dans d’autres types de fours, avec une capacité de production supérieure à 50 tonnes par jour </v>
      </c>
    </row>
    <row r="227" spans="1:2" s="92" customFormat="1" ht="12.75">
      <c r="A227" s="92">
        <v>12</v>
      </c>
      <c r="B227" s="119" t="str">
        <f>IF(LEN(Translations!B149)&gt;250,LEFT(Translations!B149,250),Translations!B149)</f>
        <v>Fabrication du verre, y compris de fibres de verre, avec une capacité de fusion supérieure à 20 tonnes par jour </v>
      </c>
    </row>
    <row r="228" spans="1:2" s="92" customFormat="1" ht="12.75">
      <c r="A228" s="92">
        <v>13</v>
      </c>
      <c r="B228" s="119" t="str">
        <f>IF(LEN(Translations!B150)&gt;250,LEFT(Translations!B150,250),Translations!B150)</f>
        <v>Fabrication de produits céramiques par cuisson, notamment de tuiles, de briques, de pierres réfractaires, de carrelages, de grès ou de porcelaines, avec une capacité de production supérieure à 75 tonnes par jour </v>
      </c>
    </row>
    <row r="229" spans="1:2" s="92" customFormat="1" ht="12.75">
      <c r="A229" s="92">
        <v>14</v>
      </c>
      <c r="B229" s="119" t="str">
        <f>IF(LEN(Translations!B151)&gt;250,LEFT(Translations!B151,250),Translations!B151)</f>
        <v>Fabrication de matériau isolant en laine minérale à partir de roches, de verre ou de laitier, avec une capacité de fusion supérieure à 20 tonnes par jour </v>
      </c>
    </row>
    <row r="230" spans="1:2" s="92" customFormat="1" ht="12.75">
      <c r="A230" s="92">
        <v>15</v>
      </c>
      <c r="B230" s="119" t="str">
        <f>IF(LEN(Translations!B152)&gt;250,LEFT(Translations!B152,250),Translations!B152)</f>
        <v>Séchage ou calcination du plâtre ou production de planches de plâtre et autres compositions à base de plâtre, lorsque des unités de combustion dont la puissance calorifique de combustion est supérieure à 20 MW sont exploitées </v>
      </c>
    </row>
    <row r="231" spans="1:2" s="92" customFormat="1" ht="12.75">
      <c r="A231" s="92">
        <v>16</v>
      </c>
      <c r="B231" s="119" t="str">
        <f>IF(LEN(Translations!B153)&gt;250,LEFT(Translations!B153,250),Translations!B153)</f>
        <v>Production de pâte à papier à partir du bois ou d’autres matières fibreuses </v>
      </c>
    </row>
    <row r="232" spans="1:2" s="92" customFormat="1" ht="12.75">
      <c r="A232" s="92">
        <v>17</v>
      </c>
      <c r="B232" s="119" t="str">
        <f>IF(LEN(Translations!B154)&gt;250,LEFT(Translations!B154,250),Translations!B154)</f>
        <v>Production de papier ou de carton, avec une capacité de production supérieure à 20 tonnes par jour. </v>
      </c>
    </row>
    <row r="233" spans="1:2" s="92" customFormat="1" ht="12.75">
      <c r="A233" s="92">
        <v>18</v>
      </c>
      <c r="B233" s="119" t="str">
        <f>IF(LEN(Translations!B155)&gt;250,LEFT(Translations!B155,250),Translations!B155)</f>
        <v>Production de noir de carbone, y compris la carbonisation de substances organiques telles que les huiles, les goudrons, les résidus de craquage et de distillation, lorsque des unités de combustion dont la puissance calorifique totale de combustion es</v>
      </c>
    </row>
    <row r="234" spans="1:2" s="92" customFormat="1" ht="12.75">
      <c r="A234" s="92">
        <v>19</v>
      </c>
      <c r="B234" s="119" t="str">
        <f>IF(LEN(Translations!B156)&gt;250,LEFT(Translations!B156,250),Translations!B156)</f>
        <v>Production d’acide nitrique </v>
      </c>
    </row>
    <row r="235" spans="1:2" s="92" customFormat="1" ht="12.75">
      <c r="A235" s="92">
        <v>20</v>
      </c>
      <c r="B235" s="119" t="str">
        <f>IF(LEN(Translations!B157)&gt;250,LEFT(Translations!B157,250),Translations!B157)</f>
        <v>Production d’acide adipique </v>
      </c>
    </row>
    <row r="236" spans="1:2" s="92" customFormat="1" ht="12.75">
      <c r="A236" s="92">
        <v>21</v>
      </c>
      <c r="B236" s="119" t="str">
        <f>IF(LEN(Translations!B158)&gt;250,LEFT(Translations!B158,250),Translations!B158)</f>
        <v>Production de glyoxal et d’acide glyoxylique</v>
      </c>
    </row>
    <row r="237" spans="1:2" s="92" customFormat="1" ht="12.75">
      <c r="A237" s="92">
        <v>22</v>
      </c>
      <c r="B237" s="119" t="str">
        <f>IF(LEN(Translations!B159)&gt;250,LEFT(Translations!B159,250),Translations!B159)</f>
        <v>Production d’ammoniac </v>
      </c>
    </row>
    <row r="238" spans="1:2" s="92" customFormat="1" ht="12.75">
      <c r="A238" s="92">
        <v>23</v>
      </c>
      <c r="B238" s="119" t="str">
        <f>IF(LEN(Translations!B160)&gt;250,LEFT(Translations!B160,250),Translations!B160)</f>
        <v>Production de produits chimiques organiques en vrac par craquage, reformage, oxydation partielle ou totale, ou par d’autres procédés similaires, avec une capacité de production supérieure à 100 tonnes par jour </v>
      </c>
    </row>
    <row r="239" spans="1:2" s="92" customFormat="1" ht="12.75">
      <c r="A239" s="92">
        <v>24</v>
      </c>
      <c r="B239" s="119" t="str">
        <f>IF(LEN(Translations!B161)&gt;250,LEFT(Translations!B161,250),Translations!B161)</f>
        <v>Production d’hydrogène (H2) et de gaz de synthèse par reformage ou oxydation partielle avec une capacité de production supérieure à 25 tonnes par jour </v>
      </c>
    </row>
    <row r="240" spans="1:2" s="92" customFormat="1" ht="12.75">
      <c r="A240" s="92">
        <v>25</v>
      </c>
      <c r="B240" s="119" t="str">
        <f>IF(LEN(Translations!B162)&gt;250,LEFT(Translations!B162,250),Translations!B162)</f>
        <v>Production de soude (Na2CO3) et de bicarbonate de sodium (NaHCO3) </v>
      </c>
    </row>
    <row r="241" spans="1:2" s="92" customFormat="1" ht="12.75">
      <c r="A241" s="92">
        <v>26</v>
      </c>
      <c r="B241" s="119" t="str">
        <f>IF(LEN(Translations!B163)&gt;250,LEFT(Translations!B163,250),Translations!B163)</f>
        <v>Captage des gaz à effet de serre produits par les installations couvertes par la directive en vue de leur transport et de leur stockage géologique dans un site de stockage agréé au titre de la directive 2009/31/CE</v>
      </c>
    </row>
    <row r="242" spans="1:2" s="92" customFormat="1" ht="12.75">
      <c r="A242" s="92">
        <v>27</v>
      </c>
      <c r="B242" s="119" t="str">
        <f>IF(LEN(Translations!B164)&gt;250,LEFT(Translations!B164,250),Translations!B164)</f>
        <v>Transport par pipelines des gaz à effet de serre en vue de leur stockage dans un site de stockage agréé au titre de la directive 2009/31/CE</v>
      </c>
    </row>
    <row r="243" spans="1:2" s="92" customFormat="1" ht="12.75">
      <c r="A243" s="92">
        <v>28</v>
      </c>
      <c r="B243" s="119" t="str">
        <f>IF(LEN(Translations!B165)&gt;250,LEFT(Translations!B165,250),Translations!B165)</f>
        <v>Stockage géologique des gaz à effet de serre dans un site de stockage agréé au titre de la directive 2009/31/CE</v>
      </c>
    </row>
    <row r="244" s="92" customFormat="1" ht="12.75">
      <c r="A244" s="120"/>
    </row>
    <row r="245" s="92" customFormat="1" ht="12.75"/>
    <row r="246" s="92" customFormat="1" ht="12.75"/>
    <row r="247" s="118" customFormat="1" ht="12.75">
      <c r="A247" s="118" t="s">
        <v>534</v>
      </c>
    </row>
    <row r="248" spans="1:13" s="98" customFormat="1" ht="63.75">
      <c r="A248" s="121" t="s">
        <v>535</v>
      </c>
      <c r="B248" s="121" t="s">
        <v>262</v>
      </c>
      <c r="C248" s="121" t="s">
        <v>536</v>
      </c>
      <c r="D248" s="121" t="s">
        <v>537</v>
      </c>
      <c r="E248" s="121" t="s">
        <v>538</v>
      </c>
      <c r="F248" s="121" t="s">
        <v>129</v>
      </c>
      <c r="G248" s="121" t="s">
        <v>539</v>
      </c>
      <c r="H248" s="121" t="s">
        <v>540</v>
      </c>
      <c r="I248" s="121" t="s">
        <v>541</v>
      </c>
      <c r="J248" s="121" t="s">
        <v>268</v>
      </c>
      <c r="K248" s="122" t="s">
        <v>235</v>
      </c>
      <c r="L248" s="388" t="s">
        <v>91</v>
      </c>
      <c r="M248" s="327" t="s">
        <v>283</v>
      </c>
    </row>
    <row r="249" spans="1:15" ht="12.75">
      <c r="A249" s="120" t="str">
        <f>VLOOKUP(B249,$A$216:$B$243,2,0)</f>
        <v>Raffinage de pétrole </v>
      </c>
      <c r="B249" s="82">
        <v>2</v>
      </c>
      <c r="C249" s="82">
        <v>1</v>
      </c>
      <c r="D249" s="85" t="str">
        <f aca="true" t="shared" si="0" ref="D249:D280">CONCATENATE(TEXT(B249,"00"),".",TEXT(C249,"00"))</f>
        <v>02.01</v>
      </c>
      <c r="E249" s="116" t="str">
        <f>Translations!B166</f>
        <v>Produits de raffinerie</v>
      </c>
      <c r="F249" s="116" t="s">
        <v>542</v>
      </c>
      <c r="G249" s="116" t="b">
        <v>1</v>
      </c>
      <c r="H249" s="123">
        <v>0.0295</v>
      </c>
      <c r="I249" s="116" t="b">
        <v>1</v>
      </c>
      <c r="J249" s="113" t="str">
        <f>Translations!$B$97</f>
        <v>Utiliser le module CWT de la feuille «SpecialBM pour calculer les niveaux d'activité historiques.</v>
      </c>
      <c r="K249" s="124" t="str">
        <f>"#JUMP_H_I"</f>
        <v>#JUMP_H_I</v>
      </c>
      <c r="L249" s="387">
        <v>0.902</v>
      </c>
      <c r="N249" s="516"/>
      <c r="O249" s="516"/>
    </row>
    <row r="250" spans="1:15" ht="12.75">
      <c r="A250" s="120" t="str">
        <f aca="true" t="shared" si="1" ref="A250:A300">VLOOKUP(B250,$A$216:$B$243,2,0)</f>
        <v>Production de coke </v>
      </c>
      <c r="B250" s="82">
        <v>3</v>
      </c>
      <c r="C250" s="82">
        <f>C249+1</f>
        <v>2</v>
      </c>
      <c r="D250" s="85" t="str">
        <f t="shared" si="0"/>
        <v>03.02</v>
      </c>
      <c r="E250" s="116" t="str">
        <f>Translations!B167</f>
        <v>Coke</v>
      </c>
      <c r="F250" s="116" t="str">
        <f aca="true" t="shared" si="2" ref="F250:F274">EUconst_Tons</f>
        <v>tonnes</v>
      </c>
      <c r="G250" s="116" t="b">
        <v>1</v>
      </c>
      <c r="H250" s="123">
        <v>0.286</v>
      </c>
      <c r="I250" s="116" t="b">
        <v>0</v>
      </c>
      <c r="J250" s="113">
        <f>""</f>
      </c>
      <c r="K250" s="124">
        <f>""</f>
      </c>
      <c r="L250" s="387">
        <v>0.96</v>
      </c>
      <c r="N250" s="516"/>
      <c r="O250" s="516"/>
    </row>
    <row r="251" spans="1:15" ht="12.75">
      <c r="A251" s="120" t="str">
        <f t="shared" si="1"/>
        <v>Grillage ou frittage, y compris pelletisation, de minerai métallique (y compris de minerai sulfuré) </v>
      </c>
      <c r="B251" s="82">
        <v>4</v>
      </c>
      <c r="C251" s="82">
        <f aca="true" t="shared" si="3" ref="C251:C300">C250+1</f>
        <v>3</v>
      </c>
      <c r="D251" s="85" t="str">
        <f t="shared" si="0"/>
        <v>04.03</v>
      </c>
      <c r="E251" s="116" t="str">
        <f>Translations!B168</f>
        <v>Minerai aggloméré</v>
      </c>
      <c r="F251" s="116" t="str">
        <f t="shared" si="2"/>
        <v>tonnes</v>
      </c>
      <c r="G251" s="116" t="b">
        <v>1</v>
      </c>
      <c r="H251" s="123">
        <v>0.171</v>
      </c>
      <c r="I251" s="116" t="b">
        <v>0</v>
      </c>
      <c r="J251" s="113">
        <f>""</f>
      </c>
      <c r="K251" s="124">
        <f>""</f>
      </c>
      <c r="L251" s="387">
        <v>0.886</v>
      </c>
      <c r="N251" s="516"/>
      <c r="O251" s="516"/>
    </row>
    <row r="252" spans="1:15" ht="12.75">
      <c r="A252" s="120" t="str">
        <f t="shared" si="1"/>
        <v>Production de fonte ou d'acier (fusion primaire ou secondaire), y compris les équipements pour coulée continue d'une capacité de plus de 2,5 tonnes par heure </v>
      </c>
      <c r="B252" s="82">
        <v>5</v>
      </c>
      <c r="C252" s="82">
        <f t="shared" si="3"/>
        <v>4</v>
      </c>
      <c r="D252" s="85" t="str">
        <f t="shared" si="0"/>
        <v>05.04</v>
      </c>
      <c r="E252" s="116" t="str">
        <f>Translations!B169</f>
        <v>Fonte liquide</v>
      </c>
      <c r="F252" s="116" t="str">
        <f t="shared" si="2"/>
        <v>tonnes</v>
      </c>
      <c r="G252" s="116" t="b">
        <v>1</v>
      </c>
      <c r="H252" s="123">
        <v>1.328</v>
      </c>
      <c r="I252" s="116" t="b">
        <v>0</v>
      </c>
      <c r="J252" s="113">
        <f>""</f>
      </c>
      <c r="K252" s="124">
        <f>""</f>
      </c>
      <c r="L252" s="387">
        <v>0.894</v>
      </c>
      <c r="N252" s="516"/>
      <c r="O252" s="516"/>
    </row>
    <row r="253" spans="1:15" ht="12.75">
      <c r="A253" s="120" t="str">
        <f t="shared" si="1"/>
        <v>Production de fonte ou d'acier (fusion primaire ou secondaire), y compris les équipements pour coulée continue d'une capacité de plus de 2,5 tonnes par heure </v>
      </c>
      <c r="B253" s="82">
        <v>5</v>
      </c>
      <c r="C253" s="82">
        <f t="shared" si="3"/>
        <v>5</v>
      </c>
      <c r="D253" s="85" t="str">
        <f t="shared" si="0"/>
        <v>05.05</v>
      </c>
      <c r="E253" s="116" t="str">
        <f>Translations!B170</f>
        <v>Acier au carbone produit au four électrique</v>
      </c>
      <c r="F253" s="116" t="str">
        <f t="shared" si="2"/>
        <v>tonnes</v>
      </c>
      <c r="G253" s="116" t="b">
        <v>1</v>
      </c>
      <c r="H253" s="125">
        <v>0.283</v>
      </c>
      <c r="I253" s="116" t="b">
        <v>1</v>
      </c>
      <c r="J253" s="113">
        <f>""</f>
      </c>
      <c r="K253" s="124">
        <f>""</f>
      </c>
      <c r="L253" s="387">
        <v>0.798</v>
      </c>
      <c r="N253" s="516"/>
      <c r="O253" s="516"/>
    </row>
    <row r="254" spans="1:15" ht="12.75">
      <c r="A254" s="120" t="str">
        <f t="shared" si="1"/>
        <v>Production de fonte ou d'acier (fusion primaire ou secondaire), y compris les équipements pour coulée continue d'une capacité de plus de 2,5 tonnes par heure </v>
      </c>
      <c r="B254" s="82">
        <v>5</v>
      </c>
      <c r="C254" s="82">
        <f t="shared" si="3"/>
        <v>6</v>
      </c>
      <c r="D254" s="85" t="str">
        <f t="shared" si="0"/>
        <v>05.06</v>
      </c>
      <c r="E254" s="116" t="str">
        <f>Translations!B171</f>
        <v>Acier fortement allié produit au four électrique</v>
      </c>
      <c r="F254" s="116" t="str">
        <f t="shared" si="2"/>
        <v>tonnes</v>
      </c>
      <c r="G254" s="116" t="b">
        <v>1</v>
      </c>
      <c r="H254" s="125">
        <v>0.352</v>
      </c>
      <c r="I254" s="116" t="b">
        <v>1</v>
      </c>
      <c r="J254" s="113">
        <f>""</f>
      </c>
      <c r="K254" s="124">
        <f>""</f>
      </c>
      <c r="L254" s="387">
        <v>0.802</v>
      </c>
      <c r="N254" s="516"/>
      <c r="O254" s="516"/>
    </row>
    <row r="255" spans="1:15" ht="12.75">
      <c r="A255" s="120" t="str">
        <f t="shared" si="1"/>
        <v>Production ou transformation de métaux ferreux (y compris les ferro-alliages) lorsque des unités de combustion dont la puissance calorifique totale de combustion est supérieure à 20 MW sont exploitées. La transformation comprend, notamment, les lamin</v>
      </c>
      <c r="B255" s="82">
        <v>6</v>
      </c>
      <c r="C255" s="82">
        <f t="shared" si="3"/>
        <v>7</v>
      </c>
      <c r="D255" s="85" t="str">
        <f t="shared" si="0"/>
        <v>06.07</v>
      </c>
      <c r="E255" s="116" t="str">
        <f>Translations!B172</f>
        <v>Fonderie de fonte</v>
      </c>
      <c r="F255" s="116" t="str">
        <f t="shared" si="2"/>
        <v>tonnes</v>
      </c>
      <c r="G255" s="116" t="b">
        <v>1</v>
      </c>
      <c r="H255" s="123">
        <v>0.325</v>
      </c>
      <c r="I255" s="116" t="b">
        <v>1</v>
      </c>
      <c r="J255" s="113">
        <f>""</f>
      </c>
      <c r="K255" s="124">
        <f>""</f>
      </c>
      <c r="L255" s="387">
        <v>0.772</v>
      </c>
      <c r="N255" s="516"/>
      <c r="O255" s="516"/>
    </row>
    <row r="256" spans="1:15" ht="12.75">
      <c r="A256" s="120" t="str">
        <f t="shared" si="1"/>
        <v>Production d’aluminium primaire </v>
      </c>
      <c r="B256" s="82">
        <v>7</v>
      </c>
      <c r="C256" s="82">
        <f t="shared" si="3"/>
        <v>8</v>
      </c>
      <c r="D256" s="85" t="str">
        <f t="shared" si="0"/>
        <v>07.08</v>
      </c>
      <c r="E256" s="116" t="str">
        <f>Translations!B173</f>
        <v>Anode précuite</v>
      </c>
      <c r="F256" s="116" t="str">
        <f t="shared" si="2"/>
        <v>tonnes</v>
      </c>
      <c r="G256" s="116" t="b">
        <v>1</v>
      </c>
      <c r="H256" s="123">
        <v>0.324</v>
      </c>
      <c r="I256" s="116" t="b">
        <v>0</v>
      </c>
      <c r="J256" s="113">
        <f>""</f>
      </c>
      <c r="K256" s="124">
        <f>""</f>
      </c>
      <c r="L256" s="387">
        <v>0.928</v>
      </c>
      <c r="N256" s="516"/>
      <c r="O256" s="516"/>
    </row>
    <row r="257" spans="1:15" ht="12.75">
      <c r="A257" s="120" t="str">
        <f t="shared" si="1"/>
        <v>Production d’aluminium primaire </v>
      </c>
      <c r="B257" s="82">
        <v>7</v>
      </c>
      <c r="C257" s="82">
        <f t="shared" si="3"/>
        <v>9</v>
      </c>
      <c r="D257" s="85" t="str">
        <f t="shared" si="0"/>
        <v>07.09</v>
      </c>
      <c r="E257" s="116" t="str">
        <f>Translations!B174</f>
        <v>Aluminium [primaire]</v>
      </c>
      <c r="F257" s="116" t="str">
        <f t="shared" si="2"/>
        <v>tonnes</v>
      </c>
      <c r="G257" s="116" t="b">
        <v>1</v>
      </c>
      <c r="H257" s="123">
        <v>1.514</v>
      </c>
      <c r="I257" s="116" t="b">
        <v>0</v>
      </c>
      <c r="J257" s="113">
        <f>""</f>
      </c>
      <c r="K257" s="124">
        <f>""</f>
      </c>
      <c r="L257" s="387">
        <v>0.964</v>
      </c>
      <c r="N257" s="516"/>
      <c r="O257" s="516"/>
    </row>
    <row r="258" spans="1:15" ht="12.75">
      <c r="A258" s="120" t="str">
        <f t="shared" si="1"/>
        <v>Production de clinker (ciment) dans des fours rotatifs avec une capacité de production supérieure à 500 tonnes par jour, ou dans d’autres types de fours, avec une capacité de production supérieure à 50 tonnes par jour </v>
      </c>
      <c r="B258" s="82">
        <v>10</v>
      </c>
      <c r="C258" s="82">
        <f t="shared" si="3"/>
        <v>10</v>
      </c>
      <c r="D258" s="85" t="str">
        <f t="shared" si="0"/>
        <v>10.10</v>
      </c>
      <c r="E258" s="116" t="str">
        <f>Translations!B175</f>
        <v>Clinker de ciment gris</v>
      </c>
      <c r="F258" s="116" t="str">
        <f t="shared" si="2"/>
        <v>tonnes</v>
      </c>
      <c r="G258" s="116" t="b">
        <v>1</v>
      </c>
      <c r="H258" s="125">
        <v>0.766</v>
      </c>
      <c r="I258" s="116" t="b">
        <v>0</v>
      </c>
      <c r="J258" s="113">
        <f>""</f>
      </c>
      <c r="K258" s="124">
        <f>""</f>
      </c>
      <c r="L258" s="387">
        <v>0.831</v>
      </c>
      <c r="N258" s="516"/>
      <c r="O258" s="516"/>
    </row>
    <row r="259" spans="1:15" ht="12.75">
      <c r="A259" s="120" t="str">
        <f t="shared" si="1"/>
        <v>Production de clinker (ciment) dans des fours rotatifs avec une capacité de production supérieure à 500 tonnes par jour, ou dans d’autres types de fours, avec une capacité de production supérieure à 50 tonnes par jour </v>
      </c>
      <c r="B259" s="82">
        <v>10</v>
      </c>
      <c r="C259" s="82">
        <f t="shared" si="3"/>
        <v>11</v>
      </c>
      <c r="D259" s="85" t="str">
        <f t="shared" si="0"/>
        <v>10.11</v>
      </c>
      <c r="E259" s="116" t="str">
        <f>Translations!B176</f>
        <v>Clinker de ciment blanc</v>
      </c>
      <c r="F259" s="116" t="str">
        <f t="shared" si="2"/>
        <v>tonnes</v>
      </c>
      <c r="G259" s="116" t="b">
        <v>1</v>
      </c>
      <c r="H259" s="123">
        <v>0.987</v>
      </c>
      <c r="I259" s="116" t="b">
        <v>0</v>
      </c>
      <c r="J259" s="113">
        <f>""</f>
      </c>
      <c r="K259" s="124">
        <f>""</f>
      </c>
      <c r="L259" s="387">
        <v>0.787</v>
      </c>
      <c r="N259" s="516"/>
      <c r="O259" s="516"/>
    </row>
    <row r="260" spans="1:15" ht="12.75">
      <c r="A260" s="120" t="str">
        <f t="shared" si="1"/>
        <v>Production de chaux, y compris la calcination de dolomite et de magnésite, dans des fours rotatifs ou dans d’autres types de fours, avec une capacité de production supérieure à 50 tonnes par jour </v>
      </c>
      <c r="B260" s="82">
        <v>11</v>
      </c>
      <c r="C260" s="82">
        <f t="shared" si="3"/>
        <v>12</v>
      </c>
      <c r="D260" s="85" t="str">
        <f t="shared" si="0"/>
        <v>11.12</v>
      </c>
      <c r="E260" s="116" t="str">
        <f>Translations!B177</f>
        <v>Chaux</v>
      </c>
      <c r="F260" s="116" t="str">
        <f t="shared" si="2"/>
        <v>tonnes</v>
      </c>
      <c r="G260" s="116" t="b">
        <v>1</v>
      </c>
      <c r="H260" s="123">
        <v>0.954</v>
      </c>
      <c r="I260" s="116" t="b">
        <v>0</v>
      </c>
      <c r="J260" s="113" t="str">
        <f>Translations!$B$98</f>
        <v>Utiliser le module applicable à la chaux de la feuille «SpecialBM pour calculer les niveaux d'activité historiques.</v>
      </c>
      <c r="K260" s="124" t="str">
        <f>"#JUMP_H_II"</f>
        <v>#JUMP_H_II</v>
      </c>
      <c r="L260" s="387">
        <v>0.813</v>
      </c>
      <c r="N260" s="516"/>
      <c r="O260" s="516"/>
    </row>
    <row r="261" spans="1:15" ht="12.75">
      <c r="A261" s="120" t="str">
        <f t="shared" si="1"/>
        <v>Production de chaux, y compris la calcination de dolomite et de magnésite, dans des fours rotatifs ou dans d’autres types de fours, avec une capacité de production supérieure à 50 tonnes par jour </v>
      </c>
      <c r="B261" s="82">
        <v>11</v>
      </c>
      <c r="C261" s="82">
        <f t="shared" si="3"/>
        <v>13</v>
      </c>
      <c r="D261" s="85" t="str">
        <f t="shared" si="0"/>
        <v>11.13</v>
      </c>
      <c r="E261" s="116" t="str">
        <f>Translations!B178</f>
        <v>Dolomie</v>
      </c>
      <c r="F261" s="116" t="str">
        <f t="shared" si="2"/>
        <v>tonnes</v>
      </c>
      <c r="G261" s="116" t="b">
        <v>1</v>
      </c>
      <c r="H261" s="123">
        <v>1.072</v>
      </c>
      <c r="I261" s="116" t="b">
        <v>0</v>
      </c>
      <c r="J261" s="113" t="str">
        <f>Translations!$B$99</f>
        <v>Utiliser le module applicable à la dolomie de la feuille «SpecialBM pour calculer les niveaux d'activité historiques.</v>
      </c>
      <c r="K261" s="124" t="str">
        <f>"#JUMP_H_III"</f>
        <v>#JUMP_H_III</v>
      </c>
      <c r="L261" s="387">
        <v>0.748</v>
      </c>
      <c r="N261" s="516"/>
      <c r="O261" s="516"/>
    </row>
    <row r="262" spans="1:15" ht="12.75">
      <c r="A262" s="120" t="str">
        <f t="shared" si="1"/>
        <v>Production de chaux, y compris la calcination de dolomite et de magnésite, dans des fours rotatifs ou dans d’autres types de fours, avec une capacité de production supérieure à 50 tonnes par jour </v>
      </c>
      <c r="B262" s="82">
        <v>11</v>
      </c>
      <c r="C262" s="82">
        <f t="shared" si="3"/>
        <v>14</v>
      </c>
      <c r="D262" s="85" t="str">
        <f t="shared" si="0"/>
        <v>11.14</v>
      </c>
      <c r="E262" s="116" t="str">
        <f>Translations!B179</f>
        <v>Dolomie frittée</v>
      </c>
      <c r="F262" s="116" t="str">
        <f t="shared" si="2"/>
        <v>tonnes</v>
      </c>
      <c r="G262" s="116" t="b">
        <v>1</v>
      </c>
      <c r="H262" s="123">
        <v>1.449</v>
      </c>
      <c r="I262" s="116" t="b">
        <v>0</v>
      </c>
      <c r="J262" s="126"/>
      <c r="K262" s="124">
        <f>""</f>
      </c>
      <c r="L262" s="387">
        <v>0.784</v>
      </c>
      <c r="N262" s="516"/>
      <c r="O262" s="516"/>
    </row>
    <row r="263" spans="1:15" ht="12.75">
      <c r="A263" s="120" t="str">
        <f t="shared" si="1"/>
        <v>Fabrication du verre, y compris de fibres de verre, avec une capacité de fusion supérieure à 20 tonnes par jour </v>
      </c>
      <c r="B263" s="82">
        <v>12</v>
      </c>
      <c r="C263" s="82">
        <f t="shared" si="3"/>
        <v>15</v>
      </c>
      <c r="D263" s="85" t="str">
        <f t="shared" si="0"/>
        <v>12.15</v>
      </c>
      <c r="E263" s="116" t="str">
        <f>Translations!B180</f>
        <v>Verre flotté («float)</v>
      </c>
      <c r="F263" s="116" t="str">
        <f t="shared" si="2"/>
        <v>tonnes</v>
      </c>
      <c r="G263" s="116" t="b">
        <v>1</v>
      </c>
      <c r="H263" s="123">
        <v>0.453</v>
      </c>
      <c r="I263" s="116" t="b">
        <v>0</v>
      </c>
      <c r="J263" s="113">
        <f>""</f>
      </c>
      <c r="K263" s="124">
        <f>""</f>
      </c>
      <c r="L263" s="387">
        <v>0.946</v>
      </c>
      <c r="N263" s="516"/>
      <c r="O263" s="516"/>
    </row>
    <row r="264" spans="1:15" ht="12.75">
      <c r="A264" s="120" t="str">
        <f t="shared" si="1"/>
        <v>Fabrication du verre, y compris de fibres de verre, avec une capacité de fusion supérieure à 20 tonnes par jour </v>
      </c>
      <c r="B264" s="82">
        <v>12</v>
      </c>
      <c r="C264" s="82">
        <f t="shared" si="3"/>
        <v>16</v>
      </c>
      <c r="D264" s="85" t="str">
        <f t="shared" si="0"/>
        <v>12.16</v>
      </c>
      <c r="E264" s="116" t="str">
        <f>Translations!B181</f>
        <v>Bouteilles et pots en verre non coloré</v>
      </c>
      <c r="F264" s="116" t="str">
        <f t="shared" si="2"/>
        <v>tonnes</v>
      </c>
      <c r="G264" s="116" t="b">
        <v>1</v>
      </c>
      <c r="H264" s="123">
        <v>0.382</v>
      </c>
      <c r="I264" s="116" t="b">
        <v>0</v>
      </c>
      <c r="J264" s="113">
        <f>""</f>
      </c>
      <c r="K264" s="124">
        <f>""</f>
      </c>
      <c r="L264" s="387">
        <v>0.883</v>
      </c>
      <c r="N264" s="516"/>
      <c r="O264" s="516"/>
    </row>
    <row r="265" spans="1:15" ht="12.75">
      <c r="A265" s="120" t="str">
        <f t="shared" si="1"/>
        <v>Fabrication du verre, y compris de fibres de verre, avec une capacité de fusion supérieure à 20 tonnes par jour </v>
      </c>
      <c r="B265" s="82">
        <v>12</v>
      </c>
      <c r="C265" s="82">
        <f t="shared" si="3"/>
        <v>17</v>
      </c>
      <c r="D265" s="85" t="str">
        <f t="shared" si="0"/>
        <v>12.17</v>
      </c>
      <c r="E265" s="116" t="str">
        <f>Translations!B182</f>
        <v>Bouteilles et pots en verre coloré</v>
      </c>
      <c r="F265" s="116" t="str">
        <f t="shared" si="2"/>
        <v>tonnes</v>
      </c>
      <c r="G265" s="116" t="b">
        <v>1</v>
      </c>
      <c r="H265" s="123">
        <v>0.306</v>
      </c>
      <c r="I265" s="116" t="b">
        <v>0</v>
      </c>
      <c r="J265" s="113">
        <f>""</f>
      </c>
      <c r="K265" s="124">
        <f>""</f>
      </c>
      <c r="L265" s="387">
        <v>0.912</v>
      </c>
      <c r="N265" s="516"/>
      <c r="O265" s="516"/>
    </row>
    <row r="266" spans="1:15" ht="12.75">
      <c r="A266" s="120" t="str">
        <f t="shared" si="1"/>
        <v>Fabrication du verre, y compris de fibres de verre, avec une capacité de fusion supérieure à 20 tonnes par jour </v>
      </c>
      <c r="B266" s="82">
        <v>12</v>
      </c>
      <c r="C266" s="82">
        <f t="shared" si="3"/>
        <v>18</v>
      </c>
      <c r="D266" s="85" t="str">
        <f t="shared" si="0"/>
        <v>12.18</v>
      </c>
      <c r="E266" s="116" t="str">
        <f>Translations!B183</f>
        <v>Produits de fibre de verre en filament continu</v>
      </c>
      <c r="F266" s="116" t="str">
        <f t="shared" si="2"/>
        <v>tonnes</v>
      </c>
      <c r="G266" s="116" t="b">
        <v>1</v>
      </c>
      <c r="H266" s="123">
        <v>0.406</v>
      </c>
      <c r="I266" s="116" t="b">
        <v>0</v>
      </c>
      <c r="J266" s="113">
        <f>""</f>
      </c>
      <c r="K266" s="124">
        <f>""</f>
      </c>
      <c r="L266" s="387">
        <v>0.892</v>
      </c>
      <c r="N266" s="516"/>
      <c r="O266" s="516"/>
    </row>
    <row r="267" spans="1:15" ht="12.75">
      <c r="A267" s="120" t="str">
        <f t="shared" si="1"/>
        <v>Fabrication de produits céramiques par cuisson, notamment de tuiles, de briques, de pierres réfractaires, de carrelages, de grès ou de porcelaines, avec une capacité de production supérieure à 75 tonnes par jour </v>
      </c>
      <c r="B267" s="82">
        <v>13</v>
      </c>
      <c r="C267" s="82">
        <f t="shared" si="3"/>
        <v>19</v>
      </c>
      <c r="D267" s="85" t="str">
        <f t="shared" si="0"/>
        <v>13.19</v>
      </c>
      <c r="E267" s="116" t="str">
        <f>Translations!B184</f>
        <v>Briques de parement</v>
      </c>
      <c r="F267" s="116" t="str">
        <f t="shared" si="2"/>
        <v>tonnes</v>
      </c>
      <c r="G267" s="314" t="b">
        <v>1</v>
      </c>
      <c r="H267" s="123">
        <v>0.139</v>
      </c>
      <c r="I267" s="116" t="b">
        <v>0</v>
      </c>
      <c r="J267" s="113">
        <f>""</f>
      </c>
      <c r="K267" s="124">
        <f>""</f>
      </c>
      <c r="L267" s="387">
        <v>0.809</v>
      </c>
      <c r="N267" s="516"/>
      <c r="O267" s="516"/>
    </row>
    <row r="268" spans="1:15" ht="12.75">
      <c r="A268" s="120" t="str">
        <f t="shared" si="1"/>
        <v>Fabrication de produits céramiques par cuisson, notamment de tuiles, de briques, de pierres réfractaires, de carrelages, de grès ou de porcelaines, avec une capacité de production supérieure à 75 tonnes par jour </v>
      </c>
      <c r="B268" s="82">
        <v>13</v>
      </c>
      <c r="C268" s="82">
        <f t="shared" si="3"/>
        <v>20</v>
      </c>
      <c r="D268" s="85" t="str">
        <f t="shared" si="0"/>
        <v>13.20</v>
      </c>
      <c r="E268" s="116" t="str">
        <f>Translations!B185</f>
        <v>Briques de pavage</v>
      </c>
      <c r="F268" s="116" t="str">
        <f t="shared" si="2"/>
        <v>tonnes</v>
      </c>
      <c r="G268" s="314" t="b">
        <v>1</v>
      </c>
      <c r="H268" s="123">
        <v>0.192</v>
      </c>
      <c r="I268" s="116" t="b">
        <v>0</v>
      </c>
      <c r="J268" s="113">
        <f>""</f>
      </c>
      <c r="K268" s="124">
        <f>""</f>
      </c>
      <c r="L268" s="387">
        <v>0.731</v>
      </c>
      <c r="N268" s="516"/>
      <c r="O268" s="516"/>
    </row>
    <row r="269" spans="1:15" ht="12.75">
      <c r="A269" s="120" t="str">
        <f t="shared" si="1"/>
        <v>Fabrication de produits céramiques par cuisson, notamment de tuiles, de briques, de pierres réfractaires, de carrelages, de grès ou de porcelaines, avec une capacité de production supérieure à 75 tonnes par jour </v>
      </c>
      <c r="B269" s="82">
        <v>13</v>
      </c>
      <c r="C269" s="82">
        <f t="shared" si="3"/>
        <v>21</v>
      </c>
      <c r="D269" s="85" t="str">
        <f t="shared" si="0"/>
        <v>13.21</v>
      </c>
      <c r="E269" s="116" t="str">
        <f>Translations!B186</f>
        <v>Tuiles</v>
      </c>
      <c r="F269" s="116" t="str">
        <f t="shared" si="2"/>
        <v>tonnes</v>
      </c>
      <c r="G269" s="314" t="b">
        <v>1</v>
      </c>
      <c r="H269" s="123">
        <v>0.144</v>
      </c>
      <c r="I269" s="116" t="b">
        <v>0</v>
      </c>
      <c r="J269" s="113">
        <f>""</f>
      </c>
      <c r="K269" s="124">
        <f>""</f>
      </c>
      <c r="L269" s="387">
        <v>0.836</v>
      </c>
      <c r="N269" s="516"/>
      <c r="O269" s="516"/>
    </row>
    <row r="270" spans="1:15" ht="12.75">
      <c r="A270" s="120" t="str">
        <f t="shared" si="1"/>
        <v>Fabrication de produits céramiques par cuisson, notamment de tuiles, de briques, de pierres réfractaires, de carrelages, de grès ou de porcelaines, avec une capacité de production supérieure à 75 tonnes par jour </v>
      </c>
      <c r="B270" s="82">
        <v>13</v>
      </c>
      <c r="C270" s="82">
        <f t="shared" si="3"/>
        <v>22</v>
      </c>
      <c r="D270" s="85" t="str">
        <f t="shared" si="0"/>
        <v>13.22</v>
      </c>
      <c r="E270" s="116" t="str">
        <f>Translations!B187</f>
        <v>Poudre atomisée</v>
      </c>
      <c r="F270" s="116" t="str">
        <f t="shared" si="2"/>
        <v>tonnes</v>
      </c>
      <c r="G270" s="116" t="b">
        <v>1</v>
      </c>
      <c r="H270" s="123">
        <v>0.076</v>
      </c>
      <c r="I270" s="116" t="b">
        <v>0</v>
      </c>
      <c r="J270" s="113">
        <f>""</f>
      </c>
      <c r="K270" s="124">
        <f>""</f>
      </c>
      <c r="L270" s="387">
        <v>0.802</v>
      </c>
      <c r="N270" s="516"/>
      <c r="O270" s="516"/>
    </row>
    <row r="271" spans="1:15" ht="12.75">
      <c r="A271" s="120" t="str">
        <f t="shared" si="1"/>
        <v>Fabrication de matériau isolant en laine minérale à partir de roches, de verre ou de laitier, avec une capacité de fusion supérieure à 20 tonnes par jour </v>
      </c>
      <c r="B271" s="82">
        <v>14</v>
      </c>
      <c r="C271" s="82">
        <f t="shared" si="3"/>
        <v>23</v>
      </c>
      <c r="D271" s="85" t="str">
        <f t="shared" si="0"/>
        <v>14.23</v>
      </c>
      <c r="E271" s="116" t="str">
        <f>Translations!B188</f>
        <v>Laine minérale</v>
      </c>
      <c r="F271" s="116" t="str">
        <f t="shared" si="2"/>
        <v>tonnes</v>
      </c>
      <c r="G271" s="314" t="b">
        <v>1</v>
      </c>
      <c r="H271" s="123">
        <v>0.682</v>
      </c>
      <c r="I271" s="116" t="b">
        <v>1</v>
      </c>
      <c r="J271" s="113">
        <f>""</f>
      </c>
      <c r="K271" s="124">
        <f>""</f>
      </c>
      <c r="L271" s="387">
        <v>0.851</v>
      </c>
      <c r="N271" s="516"/>
      <c r="O271" s="516"/>
    </row>
    <row r="272" spans="1:15" ht="12.75">
      <c r="A272" s="120" t="str">
        <f t="shared" si="1"/>
        <v>Séchage ou calcination du plâtre ou production de planches de plâtre et autres compositions à base de plâtre, lorsque des unités de combustion dont la puissance calorifique de combustion est supérieure à 20 MW sont exploitées </v>
      </c>
      <c r="B272" s="82">
        <v>15</v>
      </c>
      <c r="C272" s="82">
        <f t="shared" si="3"/>
        <v>24</v>
      </c>
      <c r="D272" s="85" t="str">
        <f t="shared" si="0"/>
        <v>15.24</v>
      </c>
      <c r="E272" s="116" t="str">
        <f>Translations!B189</f>
        <v>Plâtre</v>
      </c>
      <c r="F272" s="116" t="str">
        <f t="shared" si="2"/>
        <v>tonnes</v>
      </c>
      <c r="G272" s="116" t="b">
        <v>0</v>
      </c>
      <c r="H272" s="123">
        <v>0.048</v>
      </c>
      <c r="I272" s="116" t="b">
        <v>0</v>
      </c>
      <c r="J272" s="113">
        <f>""</f>
      </c>
      <c r="K272" s="124">
        <f>""</f>
      </c>
      <c r="L272" s="387">
        <v>0.801</v>
      </c>
      <c r="N272" s="516"/>
      <c r="O272" s="516"/>
    </row>
    <row r="273" spans="1:15" ht="12.75">
      <c r="A273" s="120" t="str">
        <f t="shared" si="1"/>
        <v>Séchage ou calcination du plâtre ou production de planches de plâtre et autres compositions à base de plâtre, lorsque des unités de combustion dont la puissance calorifique de combustion est supérieure à 20 MW sont exploitées </v>
      </c>
      <c r="B273" s="82">
        <v>15</v>
      </c>
      <c r="C273" s="82">
        <f t="shared" si="3"/>
        <v>25</v>
      </c>
      <c r="D273" s="85" t="str">
        <f t="shared" si="0"/>
        <v>15.25</v>
      </c>
      <c r="E273" s="116" t="str">
        <f>Translations!B190</f>
        <v>Gypse secondaire sec</v>
      </c>
      <c r="F273" s="116" t="str">
        <f t="shared" si="2"/>
        <v>tonnes</v>
      </c>
      <c r="G273" s="116" t="b">
        <v>0</v>
      </c>
      <c r="H273" s="123">
        <v>0.017</v>
      </c>
      <c r="I273" s="116" t="b">
        <v>0</v>
      </c>
      <c r="J273" s="113">
        <f>""</f>
      </c>
      <c r="K273" s="124">
        <f>""</f>
      </c>
      <c r="L273" s="387">
        <v>0.812</v>
      </c>
      <c r="N273" s="516"/>
      <c r="O273" s="516"/>
    </row>
    <row r="274" spans="1:15" ht="12.75">
      <c r="A274" s="120" t="str">
        <f t="shared" si="1"/>
        <v>Séchage ou calcination du plâtre ou production de planches de plâtre et autres compositions à base de plâtre, lorsque des unités de combustion dont la puissance calorifique de combustion est supérieure à 20 MW sont exploitées </v>
      </c>
      <c r="B274" s="82">
        <v>15</v>
      </c>
      <c r="C274" s="82">
        <f t="shared" si="3"/>
        <v>26</v>
      </c>
      <c r="D274" s="85" t="str">
        <f t="shared" si="0"/>
        <v>15.26</v>
      </c>
      <c r="E274" s="116" t="str">
        <f>Translations!B191</f>
        <v>Plaques de plâtre</v>
      </c>
      <c r="F274" s="116" t="str">
        <f t="shared" si="2"/>
        <v>tonnes</v>
      </c>
      <c r="G274" s="116" t="b">
        <v>0</v>
      </c>
      <c r="H274" s="123">
        <v>0.131</v>
      </c>
      <c r="I274" s="116" t="b">
        <v>1</v>
      </c>
      <c r="J274" s="113">
        <f>""</f>
      </c>
      <c r="K274" s="124">
        <f>""</f>
      </c>
      <c r="L274" s="387">
        <v>0.843</v>
      </c>
      <c r="N274" s="516"/>
      <c r="O274" s="516"/>
    </row>
    <row r="275" spans="1:15" ht="12.75">
      <c r="A275" s="120" t="str">
        <f t="shared" si="1"/>
        <v>Production de pâte à papier à partir du bois ou d’autres matières fibreuses </v>
      </c>
      <c r="B275" s="82">
        <v>16</v>
      </c>
      <c r="C275" s="82">
        <f t="shared" si="3"/>
        <v>27</v>
      </c>
      <c r="D275" s="85" t="str">
        <f t="shared" si="0"/>
        <v>16.27</v>
      </c>
      <c r="E275" s="116" t="str">
        <f>Translations!B192</f>
        <v>Pâte kraft fibres courtes</v>
      </c>
      <c r="F275" s="116" t="s">
        <v>313</v>
      </c>
      <c r="G275" s="116" t="b">
        <v>1</v>
      </c>
      <c r="H275" s="123">
        <v>0.12</v>
      </c>
      <c r="I275" s="116" t="b">
        <v>0</v>
      </c>
      <c r="J275" s="126" t="str">
        <f>Translations!$B$100</f>
        <v>Attention: pour la fabrication intégrée de pâte et de papier, des règles particulières d'allocation s'appliquent (article 10, paragraphe 7, des CIM).</v>
      </c>
      <c r="K275" s="124">
        <f>""</f>
      </c>
      <c r="L275" s="387">
        <v>0.808</v>
      </c>
      <c r="N275" s="516"/>
      <c r="O275" s="516"/>
    </row>
    <row r="276" spans="1:15" ht="12.75">
      <c r="A276" s="120" t="str">
        <f t="shared" si="1"/>
        <v>Production de pâte à papier à partir du bois ou d’autres matières fibreuses </v>
      </c>
      <c r="B276" s="82">
        <v>16</v>
      </c>
      <c r="C276" s="82">
        <f t="shared" si="3"/>
        <v>28</v>
      </c>
      <c r="D276" s="85" t="str">
        <f t="shared" si="0"/>
        <v>16.28</v>
      </c>
      <c r="E276" s="116" t="str">
        <f>Translations!B193</f>
        <v>Pâte kraft fibres longues</v>
      </c>
      <c r="F276" s="116" t="s">
        <v>313</v>
      </c>
      <c r="G276" s="116" t="b">
        <v>1</v>
      </c>
      <c r="H276" s="123">
        <v>0.06</v>
      </c>
      <c r="I276" s="116" t="b">
        <v>0</v>
      </c>
      <c r="J276" s="126" t="str">
        <f>Translations!$B$100</f>
        <v>Attention: pour la fabrication intégrée de pâte et de papier, des règles particulières d'allocation s'appliquent (article 10, paragraphe 7, des CIM).</v>
      </c>
      <c r="K276" s="124">
        <f>""</f>
      </c>
      <c r="L276" s="387">
        <v>0.823</v>
      </c>
      <c r="N276" s="516"/>
      <c r="O276" s="516"/>
    </row>
    <row r="277" spans="1:15" ht="12.75">
      <c r="A277" s="120" t="str">
        <f t="shared" si="1"/>
        <v>Production de pâte à papier à partir du bois ou d’autres matières fibreuses </v>
      </c>
      <c r="B277" s="82">
        <v>16</v>
      </c>
      <c r="C277" s="82">
        <f t="shared" si="3"/>
        <v>29</v>
      </c>
      <c r="D277" s="85" t="str">
        <f t="shared" si="0"/>
        <v>16.29</v>
      </c>
      <c r="E277" s="116" t="str">
        <f>Translations!B194</f>
        <v>Pâte au bisulfite, pâte thermomécanique et pâte mécanique</v>
      </c>
      <c r="F277" s="116" t="s">
        <v>313</v>
      </c>
      <c r="G277" s="116" t="b">
        <v>1</v>
      </c>
      <c r="H277" s="123">
        <v>0.02</v>
      </c>
      <c r="I277" s="116" t="b">
        <v>0</v>
      </c>
      <c r="J277" s="126" t="str">
        <f>Translations!$B$100</f>
        <v>Attention: pour la fabrication intégrée de pâte et de papier, des règles particulières d'allocation s'appliquent (article 10, paragraphe 7, des CIM).</v>
      </c>
      <c r="K277" s="124">
        <f>""</f>
      </c>
      <c r="L277" s="387">
        <v>0.862</v>
      </c>
      <c r="N277" s="516"/>
      <c r="O277" s="516"/>
    </row>
    <row r="278" spans="1:15" ht="12.75">
      <c r="A278" s="120" t="str">
        <f t="shared" si="1"/>
        <v>Production de pâte à papier à partir du bois ou d’autres matières fibreuses </v>
      </c>
      <c r="B278" s="82">
        <v>16</v>
      </c>
      <c r="C278" s="82">
        <f t="shared" si="3"/>
        <v>30</v>
      </c>
      <c r="D278" s="85" t="str">
        <f t="shared" si="0"/>
        <v>16.30</v>
      </c>
      <c r="E278" s="116" t="str">
        <f>Translations!B195</f>
        <v>Pâte à partir de papier recyclé</v>
      </c>
      <c r="F278" s="116" t="s">
        <v>313</v>
      </c>
      <c r="G278" s="116" t="b">
        <v>1</v>
      </c>
      <c r="H278" s="123">
        <v>0.039</v>
      </c>
      <c r="I278" s="116" t="b">
        <v>0</v>
      </c>
      <c r="J278" s="113">
        <f>""</f>
      </c>
      <c r="K278" s="124">
        <f>""</f>
      </c>
      <c r="L278" s="387">
        <v>0.887</v>
      </c>
      <c r="N278" s="516"/>
      <c r="O278" s="516"/>
    </row>
    <row r="279" spans="1:15" ht="12.75">
      <c r="A279" s="120" t="str">
        <f t="shared" si="1"/>
        <v>Production de papier ou de carton, avec une capacité de production supérieure à 20 tonnes par jour. </v>
      </c>
      <c r="B279" s="82">
        <v>17</v>
      </c>
      <c r="C279" s="82">
        <f t="shared" si="3"/>
        <v>31</v>
      </c>
      <c r="D279" s="85" t="str">
        <f t="shared" si="0"/>
        <v>17.31</v>
      </c>
      <c r="E279" s="116" t="str">
        <f>Translations!B196</f>
        <v>Papier journal</v>
      </c>
      <c r="F279" s="116" t="s">
        <v>313</v>
      </c>
      <c r="G279" s="116" t="b">
        <v>1</v>
      </c>
      <c r="H279" s="123">
        <v>0.298</v>
      </c>
      <c r="I279" s="116" t="b">
        <v>0</v>
      </c>
      <c r="J279" s="113">
        <f>""</f>
      </c>
      <c r="K279" s="124">
        <f>""</f>
      </c>
      <c r="L279" s="387">
        <v>0.919</v>
      </c>
      <c r="N279" s="516"/>
      <c r="O279" s="516"/>
    </row>
    <row r="280" spans="1:15" ht="12.75">
      <c r="A280" s="120" t="str">
        <f t="shared" si="1"/>
        <v>Production de papier ou de carton, avec une capacité de production supérieure à 20 tonnes par jour. </v>
      </c>
      <c r="B280" s="82">
        <v>17</v>
      </c>
      <c r="C280" s="82">
        <f t="shared" si="3"/>
        <v>32</v>
      </c>
      <c r="D280" s="85" t="str">
        <f t="shared" si="0"/>
        <v>17.32</v>
      </c>
      <c r="E280" s="116" t="str">
        <f>Translations!B197</f>
        <v>Papier fin non couché</v>
      </c>
      <c r="F280" s="116" t="s">
        <v>313</v>
      </c>
      <c r="G280" s="116" t="b">
        <v>1</v>
      </c>
      <c r="H280" s="123">
        <v>0.318</v>
      </c>
      <c r="I280" s="116" t="b">
        <v>0</v>
      </c>
      <c r="J280" s="113">
        <f>""</f>
      </c>
      <c r="K280" s="124">
        <f>""</f>
      </c>
      <c r="L280" s="387">
        <v>0.872</v>
      </c>
      <c r="N280" s="516"/>
      <c r="O280" s="516"/>
    </row>
    <row r="281" spans="1:15" ht="12.75">
      <c r="A281" s="120" t="str">
        <f t="shared" si="1"/>
        <v>Production de papier ou de carton, avec une capacité de production supérieure à 20 tonnes par jour. </v>
      </c>
      <c r="B281" s="82">
        <v>17</v>
      </c>
      <c r="C281" s="82">
        <f t="shared" si="3"/>
        <v>33</v>
      </c>
      <c r="D281" s="85" t="str">
        <f aca="true" t="shared" si="4" ref="D281:D300">CONCATENATE(TEXT(B281,"00"),".",TEXT(C281,"00"))</f>
        <v>17.33</v>
      </c>
      <c r="E281" s="116" t="str">
        <f>Translations!B198</f>
        <v>Papier fin couché</v>
      </c>
      <c r="F281" s="116" t="s">
        <v>313</v>
      </c>
      <c r="G281" s="116" t="b">
        <v>1</v>
      </c>
      <c r="H281" s="123">
        <v>0.318</v>
      </c>
      <c r="I281" s="116" t="b">
        <v>0</v>
      </c>
      <c r="J281" s="113">
        <f>""</f>
      </c>
      <c r="K281" s="124">
        <f>""</f>
      </c>
      <c r="L281" s="387">
        <v>0.883</v>
      </c>
      <c r="N281" s="516"/>
      <c r="O281" s="516"/>
    </row>
    <row r="282" spans="1:15" ht="12.75">
      <c r="A282" s="120" t="str">
        <f t="shared" si="1"/>
        <v>Production de papier ou de carton, avec une capacité de production supérieure à 20 tonnes par jour. </v>
      </c>
      <c r="B282" s="82">
        <v>17</v>
      </c>
      <c r="C282" s="82">
        <f t="shared" si="3"/>
        <v>34</v>
      </c>
      <c r="D282" s="85" t="str">
        <f t="shared" si="4"/>
        <v>17.34</v>
      </c>
      <c r="E282" s="116" t="str">
        <f>Translations!B199</f>
        <v>«Tissue</v>
      </c>
      <c r="F282" s="116" t="str">
        <f>EUconst_Tons</f>
        <v>tonnes</v>
      </c>
      <c r="G282" s="116" t="b">
        <v>1</v>
      </c>
      <c r="H282" s="123">
        <v>0.334</v>
      </c>
      <c r="I282" s="116" t="b">
        <v>0</v>
      </c>
      <c r="J282" s="113">
        <f>""</f>
      </c>
      <c r="K282" s="124">
        <f>""</f>
      </c>
      <c r="L282" s="387">
        <v>0.9</v>
      </c>
      <c r="N282" s="516"/>
      <c r="O282" s="516"/>
    </row>
    <row r="283" spans="1:15" ht="12.75">
      <c r="A283" s="120" t="str">
        <f t="shared" si="1"/>
        <v>Production de papier ou de carton, avec une capacité de production supérieure à 20 tonnes par jour. </v>
      </c>
      <c r="B283" s="82">
        <v>17</v>
      </c>
      <c r="C283" s="82">
        <f t="shared" si="3"/>
        <v>35</v>
      </c>
      <c r="D283" s="85" t="str">
        <f t="shared" si="4"/>
        <v>17.35</v>
      </c>
      <c r="E283" s="116" t="str">
        <f>Translations!B200</f>
        <v>«Testliner et papier pour cannelure</v>
      </c>
      <c r="F283" s="116" t="s">
        <v>313</v>
      </c>
      <c r="G283" s="116" t="b">
        <v>1</v>
      </c>
      <c r="H283" s="123">
        <v>0.248</v>
      </c>
      <c r="I283" s="116" t="b">
        <v>0</v>
      </c>
      <c r="J283" s="113">
        <f>""</f>
      </c>
      <c r="K283" s="124">
        <f>""</f>
      </c>
      <c r="L283" s="387">
        <v>0.889</v>
      </c>
      <c r="N283" s="516"/>
      <c r="O283" s="516"/>
    </row>
    <row r="284" spans="1:15" ht="12.75">
      <c r="A284" s="120" t="str">
        <f>VLOOKUP(B284,$A$216:$B$243,2,0)</f>
        <v>Production de papier ou de carton, avec une capacité de production supérieure à 20 tonnes par jour. </v>
      </c>
      <c r="B284" s="82">
        <v>17</v>
      </c>
      <c r="C284" s="82">
        <f t="shared" si="3"/>
        <v>36</v>
      </c>
      <c r="D284" s="85" t="str">
        <f t="shared" si="4"/>
        <v>17.36</v>
      </c>
      <c r="E284" s="116" t="str">
        <f>Translations!B201</f>
        <v>Carton non couché</v>
      </c>
      <c r="F284" s="116" t="s">
        <v>313</v>
      </c>
      <c r="G284" s="116" t="b">
        <v>1</v>
      </c>
      <c r="H284" s="123">
        <v>0.237</v>
      </c>
      <c r="I284" s="116" t="b">
        <v>0</v>
      </c>
      <c r="J284" s="113">
        <f>""</f>
      </c>
      <c r="K284" s="124">
        <f>""</f>
      </c>
      <c r="L284" s="387">
        <v>0.863</v>
      </c>
      <c r="N284" s="516"/>
      <c r="O284" s="516"/>
    </row>
    <row r="285" spans="1:15" ht="12.75">
      <c r="A285" s="120" t="str">
        <f t="shared" si="1"/>
        <v>Production de papier ou de carton, avec une capacité de production supérieure à 20 tonnes par jour. </v>
      </c>
      <c r="B285" s="82">
        <v>17</v>
      </c>
      <c r="C285" s="82">
        <f t="shared" si="3"/>
        <v>37</v>
      </c>
      <c r="D285" s="85" t="str">
        <f t="shared" si="4"/>
        <v>17.37</v>
      </c>
      <c r="E285" s="116" t="str">
        <f>Translations!B202</f>
        <v>Carton couché</v>
      </c>
      <c r="F285" s="116" t="s">
        <v>313</v>
      </c>
      <c r="G285" s="116" t="b">
        <v>1</v>
      </c>
      <c r="H285" s="123">
        <v>0.273</v>
      </c>
      <c r="I285" s="116" t="b">
        <v>0</v>
      </c>
      <c r="J285" s="113">
        <f>""</f>
      </c>
      <c r="K285" s="124">
        <f>""</f>
      </c>
      <c r="L285" s="387">
        <v>0.868</v>
      </c>
      <c r="N285" s="516"/>
      <c r="O285" s="516"/>
    </row>
    <row r="286" spans="1:15" ht="12.75">
      <c r="A286" s="120" t="str">
        <f t="shared" si="1"/>
        <v>Production de noir de carbone, y compris la carbonisation de substances organiques telles que les huiles, les goudrons, les résidus de craquage et de distillation, lorsque des unités de combustion dont la puissance calorifique totale de combustion es</v>
      </c>
      <c r="B286" s="82">
        <v>18</v>
      </c>
      <c r="C286" s="82">
        <f t="shared" si="3"/>
        <v>38</v>
      </c>
      <c r="D286" s="85" t="str">
        <f t="shared" si="4"/>
        <v>18.38</v>
      </c>
      <c r="E286" s="116" t="str">
        <f>Translations!B203</f>
        <v>Noir de carbone</v>
      </c>
      <c r="F286" s="116" t="str">
        <f>EUconst_Tons</f>
        <v>tonnes</v>
      </c>
      <c r="G286" s="116" t="b">
        <v>1</v>
      </c>
      <c r="H286" s="125">
        <v>1.954</v>
      </c>
      <c r="I286" s="116" t="b">
        <v>1</v>
      </c>
      <c r="J286" s="113">
        <f>""</f>
      </c>
      <c r="K286" s="124">
        <f>""</f>
      </c>
      <c r="L286" s="387">
        <v>0.865</v>
      </c>
      <c r="N286" s="516"/>
      <c r="O286" s="516"/>
    </row>
    <row r="287" spans="1:15" ht="12.75">
      <c r="A287" s="120" t="str">
        <f t="shared" si="1"/>
        <v>Production d’acide nitrique </v>
      </c>
      <c r="B287" s="82">
        <v>19</v>
      </c>
      <c r="C287" s="82">
        <f t="shared" si="3"/>
        <v>39</v>
      </c>
      <c r="D287" s="85" t="str">
        <f t="shared" si="4"/>
        <v>19.39</v>
      </c>
      <c r="E287" s="116" t="str">
        <f>Translations!B204</f>
        <v>Acide nitrique</v>
      </c>
      <c r="F287" s="116" t="str">
        <f>EUconst_Tons</f>
        <v>tonnes</v>
      </c>
      <c r="G287" s="116" t="b">
        <v>1</v>
      </c>
      <c r="H287" s="125">
        <v>0.302</v>
      </c>
      <c r="I287" s="116" t="b">
        <v>0</v>
      </c>
      <c r="J287" s="126" t="str">
        <f>Translations!$B$101</f>
        <v>La chaleur mesurable fournie à d'autres sous-installations doit être traitée comme de la chaleur provenant de sources hors SEQE.</v>
      </c>
      <c r="K287" s="124">
        <f>""</f>
      </c>
      <c r="L287" s="387">
        <v>0.876</v>
      </c>
      <c r="N287" s="516"/>
      <c r="O287" s="516"/>
    </row>
    <row r="288" spans="1:15" ht="12.75">
      <c r="A288" s="120" t="str">
        <f t="shared" si="1"/>
        <v>Production d’acide adipique </v>
      </c>
      <c r="B288" s="82">
        <v>20</v>
      </c>
      <c r="C288" s="82">
        <f t="shared" si="3"/>
        <v>40</v>
      </c>
      <c r="D288" s="85" t="str">
        <f t="shared" si="4"/>
        <v>20.40</v>
      </c>
      <c r="E288" s="116" t="str">
        <f>Translations!B205</f>
        <v>Acide adipique</v>
      </c>
      <c r="F288" s="116" t="str">
        <f>EUconst_Tons</f>
        <v>tonnes</v>
      </c>
      <c r="G288" s="116" t="b">
        <v>1</v>
      </c>
      <c r="H288" s="123">
        <v>2.79</v>
      </c>
      <c r="I288" s="116" t="b">
        <v>0</v>
      </c>
      <c r="J288" s="113">
        <f>""</f>
      </c>
      <c r="K288" s="124">
        <f>""</f>
      </c>
      <c r="L288" s="387">
        <v>0.849</v>
      </c>
      <c r="N288" s="516"/>
      <c r="O288" s="516"/>
    </row>
    <row r="289" spans="1:15" ht="12.75">
      <c r="A289" s="120" t="str">
        <f t="shared" si="1"/>
        <v>Production d’ammoniac </v>
      </c>
      <c r="B289" s="82">
        <v>22</v>
      </c>
      <c r="C289" s="82">
        <f t="shared" si="3"/>
        <v>41</v>
      </c>
      <c r="D289" s="85" t="str">
        <f t="shared" si="4"/>
        <v>22.41</v>
      </c>
      <c r="E289" s="116" t="str">
        <f>Translations!B206</f>
        <v>Ammoniac</v>
      </c>
      <c r="F289" s="116" t="str">
        <f>EUconst_Tons</f>
        <v>tonnes</v>
      </c>
      <c r="G289" s="116" t="b">
        <v>1</v>
      </c>
      <c r="H289" s="125">
        <v>1.619</v>
      </c>
      <c r="I289" s="116" t="b">
        <v>1</v>
      </c>
      <c r="J289" s="113">
        <f>""</f>
      </c>
      <c r="K289" s="124">
        <f>""</f>
      </c>
      <c r="L289" s="387">
        <v>0.888</v>
      </c>
      <c r="N289" s="516"/>
      <c r="O289" s="516"/>
    </row>
    <row r="290" spans="1:15" ht="12.75">
      <c r="A290" s="120" t="str">
        <f t="shared" si="1"/>
        <v>Production de produits chimiques organiques en vrac par craquage, reformage, oxydation partielle ou totale, ou par d’autres procédés similaires, avec une capacité de production supérieure à 100 tonnes par jour </v>
      </c>
      <c r="B290" s="82">
        <v>23</v>
      </c>
      <c r="C290" s="82">
        <f t="shared" si="3"/>
        <v>42</v>
      </c>
      <c r="D290" s="85" t="str">
        <f t="shared" si="4"/>
        <v>23.42</v>
      </c>
      <c r="E290" s="116" t="str">
        <f>Translations!B207</f>
        <v>Vapocraquage</v>
      </c>
      <c r="F290" s="116" t="str">
        <f>EUconst_Tons</f>
        <v>tonnes</v>
      </c>
      <c r="G290" s="116" t="b">
        <v>1</v>
      </c>
      <c r="H290" s="123">
        <v>0.702</v>
      </c>
      <c r="I290" s="116" t="b">
        <v>1</v>
      </c>
      <c r="J290" s="113" t="str">
        <f>Translations!B102</f>
        <v>Utiliser le module applicable au vapocraquage de la feuille «SpecialBM pour calculer les niveaux d'activité historiques et l'allocation provisoire.</v>
      </c>
      <c r="K290" s="124" t="str">
        <f>"#JUMP_H_IV"</f>
        <v>#JUMP_H_IV</v>
      </c>
      <c r="L290" s="387">
        <v>0.872</v>
      </c>
      <c r="N290" s="516"/>
      <c r="O290" s="516"/>
    </row>
    <row r="291" spans="1:15" ht="12.75">
      <c r="A291" s="120" t="str">
        <f t="shared" si="1"/>
        <v>Production de produits chimiques organiques en vrac par craquage, reformage, oxydation partielle ou totale, ou par d’autres procédés similaires, avec une capacité de production supérieure à 100 tonnes par jour </v>
      </c>
      <c r="B291" s="82">
        <v>23</v>
      </c>
      <c r="C291" s="82">
        <f t="shared" si="3"/>
        <v>43</v>
      </c>
      <c r="D291" s="85" t="str">
        <f t="shared" si="4"/>
        <v>23.43</v>
      </c>
      <c r="E291" s="116" t="str">
        <f>Translations!B208</f>
        <v>Aromatiques</v>
      </c>
      <c r="F291" s="116" t="s">
        <v>542</v>
      </c>
      <c r="G291" s="116" t="b">
        <v>1</v>
      </c>
      <c r="H291" s="123">
        <v>0.0295</v>
      </c>
      <c r="I291" s="116" t="b">
        <v>1</v>
      </c>
      <c r="J291" s="113" t="str">
        <f>Translations!B103</f>
        <v>Utiliser le module applicable au CWT de la feuille «SpecialBM pour calculer les niveaux d'activité historiques.</v>
      </c>
      <c r="K291" s="124" t="str">
        <f>"#JUMP_H_V"</f>
        <v>#JUMP_H_V</v>
      </c>
      <c r="L291" s="387">
        <v>0.902</v>
      </c>
      <c r="N291" s="516"/>
      <c r="O291" s="516"/>
    </row>
    <row r="292" spans="1:15" ht="12.75">
      <c r="A292" s="120" t="str">
        <f t="shared" si="1"/>
        <v>Production de produits chimiques organiques en vrac par craquage, reformage, oxydation partielle ou totale, ou par d’autres procédés similaires, avec une capacité de production supérieure à 100 tonnes par jour </v>
      </c>
      <c r="B292" s="82">
        <v>23</v>
      </c>
      <c r="C292" s="82">
        <f t="shared" si="3"/>
        <v>44</v>
      </c>
      <c r="D292" s="85" t="str">
        <f t="shared" si="4"/>
        <v>23.44</v>
      </c>
      <c r="E292" s="116" t="str">
        <f>Translations!B209</f>
        <v>Styrène</v>
      </c>
      <c r="F292" s="116" t="str">
        <f aca="true" t="shared" si="5" ref="F292:F300">EUconst_Tons</f>
        <v>tonnes</v>
      </c>
      <c r="G292" s="116" t="b">
        <v>1</v>
      </c>
      <c r="H292" s="123">
        <v>0.527</v>
      </c>
      <c r="I292" s="116" t="b">
        <v>1</v>
      </c>
      <c r="J292" s="113">
        <f>""</f>
      </c>
      <c r="K292" s="124">
        <f>""</f>
      </c>
      <c r="L292" s="387">
        <v>0.879</v>
      </c>
      <c r="N292" s="516"/>
      <c r="O292" s="516"/>
    </row>
    <row r="293" spans="1:15" ht="12.75">
      <c r="A293" s="120" t="str">
        <f t="shared" si="1"/>
        <v>Production de produits chimiques organiques en vrac par craquage, reformage, oxydation partielle ou totale, ou par d’autres procédés similaires, avec une capacité de production supérieure à 100 tonnes par jour </v>
      </c>
      <c r="B293" s="82">
        <v>23</v>
      </c>
      <c r="C293" s="82">
        <f t="shared" si="3"/>
        <v>45</v>
      </c>
      <c r="D293" s="85" t="str">
        <f t="shared" si="4"/>
        <v>23.45</v>
      </c>
      <c r="E293" s="116" t="str">
        <f>Translations!B210</f>
        <v>Phénol/acétone</v>
      </c>
      <c r="F293" s="116" t="str">
        <f t="shared" si="5"/>
        <v>tonnes</v>
      </c>
      <c r="G293" s="116" t="b">
        <v>1</v>
      </c>
      <c r="H293" s="123">
        <v>0.266</v>
      </c>
      <c r="I293" s="116" t="b">
        <v>0</v>
      </c>
      <c r="J293" s="113">
        <f>""</f>
      </c>
      <c r="K293" s="124">
        <f>""</f>
      </c>
      <c r="L293" s="387">
        <v>0.87</v>
      </c>
      <c r="N293" s="516"/>
      <c r="O293" s="516"/>
    </row>
    <row r="294" spans="1:15" ht="12.75">
      <c r="A294" s="120" t="str">
        <f t="shared" si="1"/>
        <v>Production de produits chimiques organiques en vrac par craquage, reformage, oxydation partielle ou totale, ou par d’autres procédés similaires, avec une capacité de production supérieure à 100 tonnes par jour </v>
      </c>
      <c r="B294" s="82">
        <v>23</v>
      </c>
      <c r="C294" s="82">
        <f t="shared" si="3"/>
        <v>46</v>
      </c>
      <c r="D294" s="85" t="str">
        <f t="shared" si="4"/>
        <v>23.46</v>
      </c>
      <c r="E294" s="116" t="str">
        <f>Translations!B211</f>
        <v>Oxyde d'éthylène/éthylène glycols</v>
      </c>
      <c r="F294" s="116" t="str">
        <f t="shared" si="5"/>
        <v>tonnes</v>
      </c>
      <c r="G294" s="116" t="b">
        <v>1</v>
      </c>
      <c r="H294" s="123">
        <v>0.512</v>
      </c>
      <c r="I294" s="116" t="b">
        <v>1</v>
      </c>
      <c r="J294" s="113" t="str">
        <f>Translations!B104</f>
        <v>Utiliser le module applicable à l'oxyde d'éthylène/glycols de la feuille «SpecialBM pour calculer les niveaux d'activité historiques.</v>
      </c>
      <c r="K294" s="124" t="str">
        <f>"#JUMP_H_VIII"</f>
        <v>#JUMP_H_VIII</v>
      </c>
      <c r="L294" s="387">
        <v>0.84</v>
      </c>
      <c r="N294" s="516"/>
      <c r="O294" s="516"/>
    </row>
    <row r="295" spans="1:15" ht="12.75">
      <c r="A295" s="120" t="str">
        <f t="shared" si="1"/>
        <v>Production de produits chimiques organiques en vrac par craquage, reformage, oxydation partielle ou totale, ou par d’autres procédés similaires, avec une capacité de production supérieure à 100 tonnes par jour </v>
      </c>
      <c r="B295" s="82">
        <v>23</v>
      </c>
      <c r="C295" s="82">
        <f t="shared" si="3"/>
        <v>47</v>
      </c>
      <c r="D295" s="85" t="str">
        <f t="shared" si="4"/>
        <v>23.47</v>
      </c>
      <c r="E295" s="116" t="str">
        <f>Translations!B212</f>
        <v>Chlorure de vinyle monomère</v>
      </c>
      <c r="F295" s="116" t="str">
        <f t="shared" si="5"/>
        <v>tonnes</v>
      </c>
      <c r="G295" s="116" t="b">
        <v>1</v>
      </c>
      <c r="H295" s="123">
        <v>0.204</v>
      </c>
      <c r="I295" s="116" t="b">
        <v>0</v>
      </c>
      <c r="J295" s="113" t="str">
        <f>Translations!B105</f>
        <v>Utiliser le module applicable au CVM de la feuille «SpecialBM pour calculer l'allocation provisoire.</v>
      </c>
      <c r="K295" s="124" t="str">
        <f>"#JUMP_H_IX"</f>
        <v>#JUMP_H_IX</v>
      </c>
      <c r="L295" s="387">
        <v>0.842</v>
      </c>
      <c r="N295" s="516"/>
      <c r="O295" s="516"/>
    </row>
    <row r="296" spans="1:15" ht="12.75">
      <c r="A296" s="120" t="str">
        <f t="shared" si="1"/>
        <v>Production de produits chimiques organiques en vrac par craquage, reformage, oxydation partielle ou totale, ou par d’autres procédés similaires, avec une capacité de production supérieure à 100 tonnes par jour </v>
      </c>
      <c r="B296" s="82">
        <v>23</v>
      </c>
      <c r="C296" s="82">
        <f t="shared" si="3"/>
        <v>48</v>
      </c>
      <c r="D296" s="85" t="str">
        <f t="shared" si="4"/>
        <v>23.48</v>
      </c>
      <c r="E296" s="116" t="str">
        <f>Translations!B213</f>
        <v>PVC en suspension (S-PVC)</v>
      </c>
      <c r="F296" s="116" t="str">
        <f t="shared" si="5"/>
        <v>tonnes</v>
      </c>
      <c r="G296" s="116" t="b">
        <v>1</v>
      </c>
      <c r="H296" s="123">
        <v>0.085</v>
      </c>
      <c r="I296" s="116" t="b">
        <v>0</v>
      </c>
      <c r="J296" s="113">
        <f>""</f>
      </c>
      <c r="K296" s="124">
        <f>""</f>
      </c>
      <c r="L296" s="387">
        <v>0.873</v>
      </c>
      <c r="N296" s="516"/>
      <c r="O296" s="516"/>
    </row>
    <row r="297" spans="1:15" ht="12.75">
      <c r="A297" s="120" t="str">
        <f t="shared" si="1"/>
        <v>Production de produits chimiques organiques en vrac par craquage, reformage, oxydation partielle ou totale, ou par d’autres procédés similaires, avec une capacité de production supérieure à 100 tonnes par jour </v>
      </c>
      <c r="B297" s="82">
        <v>23</v>
      </c>
      <c r="C297" s="82">
        <f t="shared" si="3"/>
        <v>49</v>
      </c>
      <c r="D297" s="85" t="str">
        <f t="shared" si="4"/>
        <v>23.49</v>
      </c>
      <c r="E297" s="116" t="str">
        <f>Translations!B214</f>
        <v>PVC en émulsion (E-PVC)</v>
      </c>
      <c r="F297" s="116" t="str">
        <f t="shared" si="5"/>
        <v>tonnes</v>
      </c>
      <c r="G297" s="116" t="b">
        <v>1</v>
      </c>
      <c r="H297" s="123">
        <v>0.238</v>
      </c>
      <c r="I297" s="116" t="b">
        <v>0</v>
      </c>
      <c r="J297" s="113">
        <f>""</f>
      </c>
      <c r="K297" s="124">
        <f>""</f>
      </c>
      <c r="L297" s="387">
        <v>0.834</v>
      </c>
      <c r="N297" s="516"/>
      <c r="O297" s="516"/>
    </row>
    <row r="298" spans="1:15" ht="12.75">
      <c r="A298" s="120" t="str">
        <f t="shared" si="1"/>
        <v>Production d’hydrogène (H2) et de gaz de synthèse par reformage ou oxydation partielle avec une capacité de production supérieure à 25 tonnes par jour </v>
      </c>
      <c r="B298" s="82">
        <v>24</v>
      </c>
      <c r="C298" s="82">
        <f t="shared" si="3"/>
        <v>50</v>
      </c>
      <c r="D298" s="85" t="str">
        <f t="shared" si="4"/>
        <v>24.50</v>
      </c>
      <c r="E298" s="116" t="str">
        <f>Translations!B215</f>
        <v>Hydrogène</v>
      </c>
      <c r="F298" s="116" t="str">
        <f t="shared" si="5"/>
        <v>tonnes</v>
      </c>
      <c r="G298" s="116" t="b">
        <v>1</v>
      </c>
      <c r="H298" s="123">
        <v>8.85</v>
      </c>
      <c r="I298" s="116" t="b">
        <v>1</v>
      </c>
      <c r="J298" s="113" t="str">
        <f>Translations!B106</f>
        <v>Utiliser le module applicable à l'hydrogène de la feuille «SpecialBM pour calculer les niveaux d'activité historiques.</v>
      </c>
      <c r="K298" s="124" t="str">
        <f>"#JUMP_H_VI"</f>
        <v>#JUMP_H_VI</v>
      </c>
      <c r="L298" s="387">
        <v>0.902</v>
      </c>
      <c r="N298" s="516"/>
      <c r="O298" s="516"/>
    </row>
    <row r="299" spans="1:15" ht="12.75">
      <c r="A299" s="120" t="str">
        <f t="shared" si="1"/>
        <v>Production d’hydrogène (H2) et de gaz de synthèse par reformage ou oxydation partielle avec une capacité de production supérieure à 25 tonnes par jour </v>
      </c>
      <c r="B299" s="82">
        <v>24</v>
      </c>
      <c r="C299" s="82">
        <f t="shared" si="3"/>
        <v>51</v>
      </c>
      <c r="D299" s="85" t="str">
        <f t="shared" si="4"/>
        <v>24.51</v>
      </c>
      <c r="E299" s="116" t="str">
        <f>Translations!B216</f>
        <v>Gaz de synthèse</v>
      </c>
      <c r="F299" s="116" t="str">
        <f t="shared" si="5"/>
        <v>tonnes</v>
      </c>
      <c r="G299" s="116" t="b">
        <v>1</v>
      </c>
      <c r="H299" s="123">
        <v>0.242</v>
      </c>
      <c r="I299" s="116" t="b">
        <v>1</v>
      </c>
      <c r="J299" s="113" t="str">
        <f>Translations!B107</f>
        <v>Utiliser le module applicable aux gaz de synthèse de la feuille «SpecialBM pour calculer les niveaux d'activité historiques.</v>
      </c>
      <c r="K299" s="124" t="str">
        <f>"#JUMP_H_VII"</f>
        <v>#JUMP_H_VII</v>
      </c>
      <c r="L299" s="387">
        <v>0.902</v>
      </c>
      <c r="N299" s="516"/>
      <c r="O299" s="516"/>
    </row>
    <row r="300" spans="1:15" ht="12.75">
      <c r="A300" s="120" t="str">
        <f t="shared" si="1"/>
        <v>Production de soude (Na2CO3) et de bicarbonate de sodium (NaHCO3) </v>
      </c>
      <c r="B300" s="82">
        <v>25</v>
      </c>
      <c r="C300" s="82">
        <f t="shared" si="3"/>
        <v>52</v>
      </c>
      <c r="D300" s="85" t="str">
        <f t="shared" si="4"/>
        <v>25.52</v>
      </c>
      <c r="E300" s="116" t="str">
        <f>Translations!B217</f>
        <v>Carbonate de soude</v>
      </c>
      <c r="F300" s="116" t="str">
        <f t="shared" si="5"/>
        <v>tonnes</v>
      </c>
      <c r="G300" s="116" t="b">
        <v>1</v>
      </c>
      <c r="H300" s="123">
        <v>0.843</v>
      </c>
      <c r="I300" s="116" t="b">
        <v>0</v>
      </c>
      <c r="J300" s="113">
        <f>""</f>
      </c>
      <c r="K300" s="124">
        <f>""</f>
      </c>
      <c r="L300" s="387">
        <v>0.926</v>
      </c>
      <c r="N300" s="516"/>
      <c r="O300" s="516"/>
    </row>
    <row r="301" spans="1:12" ht="12.75">
      <c r="A301" s="127" t="s">
        <v>56</v>
      </c>
      <c r="B301" s="128" t="s">
        <v>56</v>
      </c>
      <c r="C301" s="128" t="s">
        <v>56</v>
      </c>
      <c r="D301" s="128" t="s">
        <v>56</v>
      </c>
      <c r="E301" s="128" t="s">
        <v>56</v>
      </c>
      <c r="F301" s="128" t="s">
        <v>56</v>
      </c>
      <c r="G301" s="128" t="s">
        <v>56</v>
      </c>
      <c r="H301" s="128" t="s">
        <v>56</v>
      </c>
      <c r="I301" s="128" t="s">
        <v>56</v>
      </c>
      <c r="J301" s="128" t="s">
        <v>56</v>
      </c>
      <c r="K301" s="128" t="s">
        <v>56</v>
      </c>
      <c r="L301" s="128" t="s">
        <v>56</v>
      </c>
    </row>
    <row r="302" s="118" customFormat="1" ht="12.75">
      <c r="A302" s="118" t="s">
        <v>494</v>
      </c>
    </row>
    <row r="303" spans="1:11" ht="12.75">
      <c r="A303" s="116"/>
      <c r="B303" s="116"/>
      <c r="C303" s="116" t="s">
        <v>536</v>
      </c>
      <c r="D303" s="116" t="s">
        <v>537</v>
      </c>
      <c r="E303" s="116" t="s">
        <v>495</v>
      </c>
      <c r="F303" s="116" t="s">
        <v>129</v>
      </c>
      <c r="G303" s="116" t="s">
        <v>539</v>
      </c>
      <c r="H303" s="116" t="s">
        <v>540</v>
      </c>
      <c r="I303" s="116" t="s">
        <v>14</v>
      </c>
      <c r="J303" s="116"/>
      <c r="K303" s="129"/>
    </row>
    <row r="304" spans="2:12" s="130" customFormat="1" ht="12.75">
      <c r="B304" s="130">
        <v>90</v>
      </c>
      <c r="C304" s="131">
        <v>91</v>
      </c>
      <c r="D304" s="132" t="str">
        <f aca="true" t="shared" si="6" ref="D304:D309">CONCATENATE(TEXT(B304,"00"),".",TEXT(C304,"00"))</f>
        <v>90.91</v>
      </c>
      <c r="E304" s="34" t="str">
        <f>Translations!B218</f>
        <v>Sous-installation avec référentiel de chaleur, CL (risque de fuite de carbone)</v>
      </c>
      <c r="F304" s="4" t="str">
        <f>EUconst_TJ</f>
        <v>TJ</v>
      </c>
      <c r="G304" s="33" t="b">
        <v>1</v>
      </c>
      <c r="H304" s="131">
        <v>62.3</v>
      </c>
      <c r="I304" s="131" t="s">
        <v>15</v>
      </c>
      <c r="L304" s="389">
        <v>1</v>
      </c>
    </row>
    <row r="305" spans="2:12" s="130" customFormat="1" ht="12.75">
      <c r="B305" s="130">
        <v>90</v>
      </c>
      <c r="C305" s="131">
        <v>92</v>
      </c>
      <c r="D305" s="132" t="str">
        <f t="shared" si="6"/>
        <v>90.92</v>
      </c>
      <c r="E305" s="34" t="str">
        <f>Translations!B219</f>
        <v>Sous-installation avec référentiel de chaleur, non-CL (sans risque de fuite de carbone)</v>
      </c>
      <c r="F305" s="4" t="str">
        <f>EUconst_TJ</f>
        <v>TJ</v>
      </c>
      <c r="G305" s="33" t="b">
        <v>0</v>
      </c>
      <c r="H305" s="131">
        <v>62.3</v>
      </c>
      <c r="I305" s="131" t="s">
        <v>15</v>
      </c>
      <c r="L305" s="389">
        <v>1</v>
      </c>
    </row>
    <row r="306" spans="2:12" s="130" customFormat="1" ht="12.75">
      <c r="B306" s="130">
        <v>90</v>
      </c>
      <c r="C306" s="131">
        <v>93</v>
      </c>
      <c r="D306" s="132" t="str">
        <f t="shared" si="6"/>
        <v>90.93</v>
      </c>
      <c r="E306" s="34" t="str">
        <f>Translations!B220</f>
        <v>Sous-installation avec référentiel de combustibles, CL</v>
      </c>
      <c r="F306" s="4" t="str">
        <f>EUconst_TJ</f>
        <v>TJ</v>
      </c>
      <c r="G306" s="33" t="b">
        <v>1</v>
      </c>
      <c r="H306" s="131">
        <v>56.1</v>
      </c>
      <c r="I306" s="131" t="s">
        <v>16</v>
      </c>
      <c r="L306" s="389">
        <v>1</v>
      </c>
    </row>
    <row r="307" spans="2:12" s="130" customFormat="1" ht="12.75">
      <c r="B307" s="130">
        <v>90</v>
      </c>
      <c r="C307" s="131">
        <v>94</v>
      </c>
      <c r="D307" s="132" t="str">
        <f t="shared" si="6"/>
        <v>90.94</v>
      </c>
      <c r="E307" s="34" t="str">
        <f>Translations!B221</f>
        <v>Sous-installation avec référentiel de combustibles, non-CL</v>
      </c>
      <c r="F307" s="4" t="str">
        <f>EUconst_TJ</f>
        <v>TJ</v>
      </c>
      <c r="G307" s="33" t="b">
        <v>0</v>
      </c>
      <c r="H307" s="131">
        <v>56.1</v>
      </c>
      <c r="I307" s="131" t="s">
        <v>16</v>
      </c>
      <c r="L307" s="389">
        <v>1</v>
      </c>
    </row>
    <row r="308" spans="2:12" s="130" customFormat="1" ht="12.75">
      <c r="B308" s="130">
        <v>90</v>
      </c>
      <c r="C308" s="131">
        <v>95</v>
      </c>
      <c r="D308" s="132" t="str">
        <f t="shared" si="6"/>
        <v>90.95</v>
      </c>
      <c r="E308" s="34" t="str">
        <f>Translations!B222</f>
        <v>Sous-installation avec émissions de procédé, CL</v>
      </c>
      <c r="F308" s="4" t="str">
        <f>EUconst_tCO2e</f>
        <v>t CO2e</v>
      </c>
      <c r="G308" s="33" t="b">
        <v>1</v>
      </c>
      <c r="H308" s="131">
        <v>0.97</v>
      </c>
      <c r="I308" s="131" t="s">
        <v>17</v>
      </c>
      <c r="L308" s="389">
        <v>1</v>
      </c>
    </row>
    <row r="309" spans="2:12" s="130" customFormat="1" ht="12.75">
      <c r="B309" s="130">
        <v>90</v>
      </c>
      <c r="C309" s="131">
        <v>96</v>
      </c>
      <c r="D309" s="132" t="str">
        <f t="shared" si="6"/>
        <v>90.96</v>
      </c>
      <c r="E309" s="34" t="str">
        <f>Translations!B223</f>
        <v>Sous-installation avec émissions de procédé, non-CL</v>
      </c>
      <c r="F309" s="4" t="str">
        <f>EUconst_tCO2e</f>
        <v>t CO2e</v>
      </c>
      <c r="G309" s="33" t="b">
        <v>0</v>
      </c>
      <c r="H309" s="131">
        <v>0.97</v>
      </c>
      <c r="I309" s="131" t="s">
        <v>17</v>
      </c>
      <c r="L309" s="389">
        <v>1</v>
      </c>
    </row>
    <row r="310" s="118" customFormat="1" ht="12.75">
      <c r="A310" s="118" t="s">
        <v>9</v>
      </c>
    </row>
    <row r="311" spans="1:11" ht="12.75">
      <c r="A311" s="116"/>
      <c r="B311" s="116"/>
      <c r="C311" s="116"/>
      <c r="D311" s="116"/>
      <c r="E311" s="330" t="s">
        <v>11</v>
      </c>
      <c r="F311" s="330" t="s">
        <v>10</v>
      </c>
      <c r="G311" s="330" t="s">
        <v>30</v>
      </c>
      <c r="H311" s="116"/>
      <c r="I311" s="116"/>
      <c r="J311" s="116"/>
      <c r="K311" s="129"/>
    </row>
    <row r="312" spans="3:9" s="130" customFormat="1" ht="12.75">
      <c r="C312" s="131"/>
      <c r="D312" s="132"/>
      <c r="E312" s="361">
        <v>0</v>
      </c>
      <c r="F312" s="361">
        <v>1</v>
      </c>
      <c r="G312" s="329" t="s">
        <v>31</v>
      </c>
      <c r="H312" s="131"/>
      <c r="I312" s="131"/>
    </row>
    <row r="313" spans="3:9" s="130" customFormat="1" ht="12.75">
      <c r="C313" s="131"/>
      <c r="D313" s="132"/>
      <c r="E313" s="361">
        <v>0.5</v>
      </c>
      <c r="F313" s="361">
        <v>0.5</v>
      </c>
      <c r="G313" s="329" t="s">
        <v>32</v>
      </c>
      <c r="H313" s="131"/>
      <c r="I313" s="131"/>
    </row>
    <row r="314" spans="3:9" s="130" customFormat="1" ht="12.75">
      <c r="C314" s="131"/>
      <c r="D314" s="132"/>
      <c r="E314" s="361">
        <v>0.75</v>
      </c>
      <c r="F314" s="361">
        <v>0.25</v>
      </c>
      <c r="G314" s="329" t="s">
        <v>33</v>
      </c>
      <c r="H314" s="131"/>
      <c r="I314" s="131"/>
    </row>
    <row r="315" spans="3:9" s="130" customFormat="1" ht="12.75">
      <c r="C315" s="131"/>
      <c r="D315" s="132"/>
      <c r="E315" s="361">
        <v>0.9</v>
      </c>
      <c r="F315" s="361">
        <v>0</v>
      </c>
      <c r="G315" s="329" t="s">
        <v>34</v>
      </c>
      <c r="H315" s="131"/>
      <c r="I315" s="131"/>
    </row>
    <row r="316" s="118" customFormat="1" ht="12.75">
      <c r="A316" s="118" t="s">
        <v>26</v>
      </c>
    </row>
    <row r="317" spans="3:15" s="130" customFormat="1" ht="12.75">
      <c r="C317" s="90"/>
      <c r="D317" s="132"/>
      <c r="E317" s="4" t="str">
        <f>Translations!$B$166</f>
        <v>Produits de raffinerie</v>
      </c>
      <c r="F317" s="4"/>
      <c r="G317" s="33"/>
      <c r="H317" s="131"/>
      <c r="I317" s="131"/>
      <c r="J317" s="362"/>
      <c r="M317" s="367"/>
      <c r="N317" s="367"/>
      <c r="O317" s="367"/>
    </row>
    <row r="318" spans="3:15" s="130" customFormat="1" ht="12.75">
      <c r="C318" s="90"/>
      <c r="D318" s="132"/>
      <c r="E318" s="4" t="str">
        <f>Translations!$B$167</f>
        <v>Coke</v>
      </c>
      <c r="F318" s="4"/>
      <c r="G318" s="33"/>
      <c r="H318" s="131"/>
      <c r="I318" s="131"/>
      <c r="M318" s="368"/>
      <c r="N318" s="368"/>
      <c r="O318" s="368"/>
    </row>
    <row r="319" spans="3:15" s="130" customFormat="1" ht="12.75">
      <c r="C319" s="90"/>
      <c r="D319" s="132"/>
      <c r="E319" s="4" t="str">
        <f>Translations!$B$168</f>
        <v>Minerai aggloméré</v>
      </c>
      <c r="F319" s="4"/>
      <c r="G319" s="33"/>
      <c r="H319" s="131"/>
      <c r="I319" s="131"/>
      <c r="M319" s="368"/>
      <c r="N319" s="368"/>
      <c r="O319" s="368"/>
    </row>
    <row r="320" spans="3:15" s="130" customFormat="1" ht="12.75">
      <c r="C320" s="90"/>
      <c r="D320" s="132"/>
      <c r="E320" s="4" t="str">
        <f>Translations!$B$169</f>
        <v>Fonte liquide</v>
      </c>
      <c r="F320" s="4"/>
      <c r="G320" s="33"/>
      <c r="H320" s="131"/>
      <c r="I320" s="131"/>
      <c r="M320" s="368"/>
      <c r="N320" s="368"/>
      <c r="O320" s="368"/>
    </row>
    <row r="321" spans="3:15" s="130" customFormat="1" ht="12.75">
      <c r="C321" s="90"/>
      <c r="D321" s="132"/>
      <c r="E321" s="4" t="str">
        <f>Translations!$B$170</f>
        <v>Acier au carbone produit au four électrique</v>
      </c>
      <c r="F321" s="4"/>
      <c r="G321" s="33"/>
      <c r="H321" s="131"/>
      <c r="I321" s="131"/>
      <c r="M321" s="368"/>
      <c r="N321" s="368"/>
      <c r="O321" s="368"/>
    </row>
    <row r="322" spans="3:15" s="130" customFormat="1" ht="12.75">
      <c r="C322" s="90"/>
      <c r="D322" s="132"/>
      <c r="E322" s="4" t="str">
        <f>Translations!$B$171</f>
        <v>Acier fortement allié produit au four électrique</v>
      </c>
      <c r="F322" s="4"/>
      <c r="G322" s="33"/>
      <c r="H322" s="131"/>
      <c r="I322" s="131"/>
      <c r="M322" s="368"/>
      <c r="N322" s="368"/>
      <c r="O322" s="368"/>
    </row>
    <row r="323" spans="3:15" s="130" customFormat="1" ht="12.75">
      <c r="C323" s="90"/>
      <c r="D323" s="132"/>
      <c r="E323" s="4" t="str">
        <f>Translations!$B$172</f>
        <v>Fonderie de fonte</v>
      </c>
      <c r="F323" s="4"/>
      <c r="G323" s="33"/>
      <c r="H323" s="131"/>
      <c r="I323" s="131"/>
      <c r="M323" s="3"/>
      <c r="N323" s="3"/>
      <c r="O323" s="3"/>
    </row>
    <row r="324" spans="3:15" s="130" customFormat="1" ht="12.75">
      <c r="C324" s="90"/>
      <c r="D324" s="132"/>
      <c r="E324" s="4" t="str">
        <f>Translations!$B$173</f>
        <v>Anode précuite</v>
      </c>
      <c r="F324" s="4"/>
      <c r="G324" s="33"/>
      <c r="H324" s="131"/>
      <c r="I324" s="131"/>
      <c r="M324" s="3"/>
      <c r="N324" s="3"/>
      <c r="O324" s="3"/>
    </row>
    <row r="325" spans="3:15" s="130" customFormat="1" ht="12.75">
      <c r="C325" s="90"/>
      <c r="D325" s="132"/>
      <c r="E325" s="4" t="str">
        <f>Translations!$B$174</f>
        <v>Aluminium [primaire]</v>
      </c>
      <c r="F325" s="4"/>
      <c r="G325" s="33"/>
      <c r="H325" s="131"/>
      <c r="I325" s="131"/>
      <c r="M325" s="3"/>
      <c r="N325" s="3"/>
      <c r="O325" s="3"/>
    </row>
    <row r="326" spans="3:15" s="130" customFormat="1" ht="12.75">
      <c r="C326" s="90"/>
      <c r="D326" s="132"/>
      <c r="E326" s="4" t="str">
        <f>Translations!$B$175</f>
        <v>Clinker de ciment gris</v>
      </c>
      <c r="F326" s="4"/>
      <c r="G326" s="33"/>
      <c r="H326" s="131"/>
      <c r="I326" s="131"/>
      <c r="M326" s="3"/>
      <c r="N326" s="3"/>
      <c r="O326" s="3"/>
    </row>
    <row r="327" spans="3:15" s="130" customFormat="1" ht="12.75">
      <c r="C327" s="90"/>
      <c r="D327" s="132"/>
      <c r="E327" s="4" t="str">
        <f>Translations!$B$176</f>
        <v>Clinker de ciment blanc</v>
      </c>
      <c r="F327" s="4"/>
      <c r="G327" s="33"/>
      <c r="H327" s="131"/>
      <c r="I327" s="131"/>
      <c r="M327" s="3"/>
      <c r="N327" s="3"/>
      <c r="O327" s="3"/>
    </row>
    <row r="328" spans="3:15" s="130" customFormat="1" ht="12.75">
      <c r="C328" s="90"/>
      <c r="D328" s="132"/>
      <c r="E328" s="4" t="str">
        <f>Translations!$B$177</f>
        <v>Chaux</v>
      </c>
      <c r="F328" s="4"/>
      <c r="G328" s="33"/>
      <c r="H328" s="131"/>
      <c r="I328" s="131"/>
      <c r="M328" s="3"/>
      <c r="N328" s="3"/>
      <c r="O328" s="3"/>
    </row>
    <row r="329" spans="3:15" s="130" customFormat="1" ht="12.75">
      <c r="C329" s="90"/>
      <c r="D329" s="132"/>
      <c r="E329" s="4" t="str">
        <f>Translations!$B$178</f>
        <v>Dolomie</v>
      </c>
      <c r="F329" s="4"/>
      <c r="G329" s="33"/>
      <c r="H329" s="131"/>
      <c r="I329" s="131"/>
      <c r="M329" s="3"/>
      <c r="N329" s="3"/>
      <c r="O329" s="3"/>
    </row>
    <row r="330" spans="3:15" s="130" customFormat="1" ht="12.75">
      <c r="C330" s="90"/>
      <c r="D330" s="132"/>
      <c r="E330" s="4" t="str">
        <f>Translations!$B$179</f>
        <v>Dolomie frittée</v>
      </c>
      <c r="F330" s="4"/>
      <c r="G330" s="33"/>
      <c r="H330" s="131"/>
      <c r="I330" s="131"/>
      <c r="M330" s="3"/>
      <c r="N330" s="3"/>
      <c r="O330" s="3"/>
    </row>
    <row r="331" spans="3:15" s="130" customFormat="1" ht="12.75">
      <c r="C331" s="90"/>
      <c r="D331" s="132"/>
      <c r="E331" s="4" t="str">
        <f>Translations!$B$180</f>
        <v>Verre flotté («float)</v>
      </c>
      <c r="F331" s="4"/>
      <c r="G331" s="33"/>
      <c r="H331" s="131"/>
      <c r="I331" s="131"/>
      <c r="M331" s="3"/>
      <c r="N331" s="3"/>
      <c r="O331" s="3"/>
    </row>
    <row r="332" spans="3:15" s="130" customFormat="1" ht="12.75">
      <c r="C332" s="90"/>
      <c r="D332" s="132"/>
      <c r="E332" s="4" t="str">
        <f>Translations!$B$181</f>
        <v>Bouteilles et pots en verre non coloré</v>
      </c>
      <c r="F332" s="4"/>
      <c r="G332" s="33"/>
      <c r="H332" s="131"/>
      <c r="I332" s="131"/>
      <c r="M332" s="3"/>
      <c r="N332" s="3"/>
      <c r="O332" s="3"/>
    </row>
    <row r="333" spans="3:15" s="130" customFormat="1" ht="12.75">
      <c r="C333" s="90"/>
      <c r="D333" s="132"/>
      <c r="E333" s="4" t="str">
        <f>Translations!$B$182</f>
        <v>Bouteilles et pots en verre coloré</v>
      </c>
      <c r="F333" s="4"/>
      <c r="G333" s="33"/>
      <c r="H333" s="131"/>
      <c r="I333" s="131"/>
      <c r="M333" s="3"/>
      <c r="N333" s="3"/>
      <c r="O333" s="3"/>
    </row>
    <row r="334" spans="3:15" s="130" customFormat="1" ht="12.75">
      <c r="C334" s="90"/>
      <c r="D334" s="132"/>
      <c r="E334" s="4" t="str">
        <f>Translations!$B$183</f>
        <v>Produits de fibre de verre en filament continu</v>
      </c>
      <c r="F334" s="4"/>
      <c r="G334" s="33"/>
      <c r="H334" s="131"/>
      <c r="I334" s="131"/>
      <c r="M334" s="3"/>
      <c r="N334" s="3"/>
      <c r="O334" s="3"/>
    </row>
    <row r="335" spans="3:15" s="130" customFormat="1" ht="12.75">
      <c r="C335" s="90"/>
      <c r="D335" s="132"/>
      <c r="E335" s="4" t="str">
        <f>Translations!$B$184</f>
        <v>Briques de parement</v>
      </c>
      <c r="F335" s="4"/>
      <c r="G335" s="33"/>
      <c r="H335" s="131"/>
      <c r="I335" s="131"/>
      <c r="M335" s="3"/>
      <c r="N335" s="3"/>
      <c r="O335" s="3"/>
    </row>
    <row r="336" spans="3:15" s="130" customFormat="1" ht="12.75">
      <c r="C336" s="90"/>
      <c r="D336" s="132"/>
      <c r="E336" s="4" t="str">
        <f>Translations!$B$185</f>
        <v>Briques de pavage</v>
      </c>
      <c r="F336" s="4"/>
      <c r="G336" s="33"/>
      <c r="H336" s="131"/>
      <c r="I336" s="131"/>
      <c r="M336" s="3"/>
      <c r="N336" s="3"/>
      <c r="O336" s="3"/>
    </row>
    <row r="337" spans="3:15" s="130" customFormat="1" ht="12.75">
      <c r="C337" s="90"/>
      <c r="D337" s="132"/>
      <c r="E337" s="4" t="str">
        <f>Translations!$B$186</f>
        <v>Tuiles</v>
      </c>
      <c r="F337" s="4"/>
      <c r="G337" s="33"/>
      <c r="H337" s="131"/>
      <c r="I337" s="131"/>
      <c r="M337" s="3"/>
      <c r="N337" s="3"/>
      <c r="O337" s="3"/>
    </row>
    <row r="338" spans="3:15" s="130" customFormat="1" ht="12.75">
      <c r="C338" s="90"/>
      <c r="D338" s="132"/>
      <c r="E338" s="4" t="str">
        <f>Translations!$B$187</f>
        <v>Poudre atomisée</v>
      </c>
      <c r="F338" s="4"/>
      <c r="G338" s="33"/>
      <c r="H338" s="131"/>
      <c r="I338" s="131"/>
      <c r="M338" s="3"/>
      <c r="N338" s="3"/>
      <c r="O338" s="3"/>
    </row>
    <row r="339" spans="3:15" s="130" customFormat="1" ht="12.75">
      <c r="C339" s="90"/>
      <c r="D339" s="132"/>
      <c r="E339" s="4" t="str">
        <f>Translations!$B$188</f>
        <v>Laine minérale</v>
      </c>
      <c r="F339" s="4"/>
      <c r="G339" s="33"/>
      <c r="H339" s="131"/>
      <c r="I339" s="131"/>
      <c r="M339" s="3"/>
      <c r="N339" s="3"/>
      <c r="O339" s="3"/>
    </row>
    <row r="340" spans="3:15" s="130" customFormat="1" ht="12.75">
      <c r="C340" s="90"/>
      <c r="D340" s="132"/>
      <c r="E340" s="4" t="str">
        <f>Translations!$B$189</f>
        <v>Plâtre</v>
      </c>
      <c r="F340" s="4"/>
      <c r="G340" s="33"/>
      <c r="H340" s="131"/>
      <c r="I340" s="131"/>
      <c r="M340" s="3"/>
      <c r="N340" s="3"/>
      <c r="O340" s="3"/>
    </row>
    <row r="341" spans="3:15" s="130" customFormat="1" ht="12.75">
      <c r="C341" s="90"/>
      <c r="D341" s="132"/>
      <c r="E341" s="4" t="str">
        <f>Translations!$B$190</f>
        <v>Gypse secondaire sec</v>
      </c>
      <c r="F341" s="4"/>
      <c r="G341" s="33"/>
      <c r="H341" s="131"/>
      <c r="I341" s="131"/>
      <c r="M341" s="3"/>
      <c r="N341" s="3"/>
      <c r="O341" s="3"/>
    </row>
    <row r="342" spans="3:15" s="130" customFormat="1" ht="12.75">
      <c r="C342" s="90"/>
      <c r="D342" s="132"/>
      <c r="E342" s="4" t="str">
        <f>Translations!$B$191</f>
        <v>Plaques de plâtre</v>
      </c>
      <c r="F342" s="4"/>
      <c r="G342" s="33"/>
      <c r="H342" s="131"/>
      <c r="I342" s="131"/>
      <c r="M342" s="3"/>
      <c r="N342" s="3"/>
      <c r="O342" s="3"/>
    </row>
    <row r="343" spans="3:15" s="130" customFormat="1" ht="12.75">
      <c r="C343" s="90"/>
      <c r="D343" s="132"/>
      <c r="E343" s="4" t="str">
        <f>Translations!$B$192</f>
        <v>Pâte kraft fibres courtes</v>
      </c>
      <c r="F343" s="4"/>
      <c r="G343" s="33"/>
      <c r="H343" s="131"/>
      <c r="I343" s="131"/>
      <c r="M343" s="3"/>
      <c r="N343" s="3"/>
      <c r="O343" s="3"/>
    </row>
    <row r="344" spans="3:15" s="130" customFormat="1" ht="12.75">
      <c r="C344" s="90"/>
      <c r="D344" s="132"/>
      <c r="E344" s="4" t="str">
        <f>Translations!$B$193</f>
        <v>Pâte kraft fibres longues</v>
      </c>
      <c r="F344" s="4"/>
      <c r="G344" s="33"/>
      <c r="H344" s="131"/>
      <c r="I344" s="131"/>
      <c r="M344" s="3"/>
      <c r="N344" s="3"/>
      <c r="O344" s="3"/>
    </row>
    <row r="345" spans="3:15" s="130" customFormat="1" ht="12.75">
      <c r="C345" s="90"/>
      <c r="D345" s="132"/>
      <c r="E345" s="4" t="str">
        <f>Translations!$B$194</f>
        <v>Pâte au bisulfite, pâte thermomécanique et pâte mécanique</v>
      </c>
      <c r="F345" s="4"/>
      <c r="G345" s="33"/>
      <c r="H345" s="131"/>
      <c r="I345" s="131"/>
      <c r="M345" s="3"/>
      <c r="N345" s="3"/>
      <c r="O345" s="3"/>
    </row>
    <row r="346" spans="3:15" s="130" customFormat="1" ht="12.75">
      <c r="C346" s="90"/>
      <c r="D346" s="132"/>
      <c r="E346" s="4" t="str">
        <f>Translations!$B$195</f>
        <v>Pâte à partir de papier recyclé</v>
      </c>
      <c r="F346" s="4"/>
      <c r="G346" s="33"/>
      <c r="H346" s="131"/>
      <c r="I346" s="131"/>
      <c r="M346" s="3"/>
      <c r="N346" s="3"/>
      <c r="O346" s="3"/>
    </row>
    <row r="347" spans="3:15" s="130" customFormat="1" ht="12.75">
      <c r="C347" s="90"/>
      <c r="D347" s="132"/>
      <c r="E347" s="4" t="str">
        <f>Translations!$B$196</f>
        <v>Papier journal</v>
      </c>
      <c r="F347" s="4"/>
      <c r="G347" s="33"/>
      <c r="H347" s="131"/>
      <c r="I347" s="131"/>
      <c r="M347" s="3"/>
      <c r="N347" s="3"/>
      <c r="O347" s="3"/>
    </row>
    <row r="348" spans="3:15" s="130" customFormat="1" ht="12.75">
      <c r="C348" s="90"/>
      <c r="D348" s="132"/>
      <c r="E348" s="4" t="str">
        <f>Translations!$B$197</f>
        <v>Papier fin non couché</v>
      </c>
      <c r="F348" s="4"/>
      <c r="G348" s="33"/>
      <c r="H348" s="131"/>
      <c r="I348" s="131"/>
      <c r="M348" s="3"/>
      <c r="N348" s="3"/>
      <c r="O348" s="3"/>
    </row>
    <row r="349" spans="3:15" s="130" customFormat="1" ht="12.75">
      <c r="C349" s="90"/>
      <c r="D349" s="132"/>
      <c r="E349" s="4" t="str">
        <f>Translations!$B$198</f>
        <v>Papier fin couché</v>
      </c>
      <c r="F349" s="4"/>
      <c r="G349" s="33"/>
      <c r="H349" s="131"/>
      <c r="I349" s="131"/>
      <c r="M349" s="3"/>
      <c r="N349" s="3"/>
      <c r="O349" s="3"/>
    </row>
    <row r="350" spans="3:15" s="130" customFormat="1" ht="12.75">
      <c r="C350" s="90"/>
      <c r="D350" s="132"/>
      <c r="E350" s="4" t="str">
        <f>Translations!$B$199</f>
        <v>«Tissue</v>
      </c>
      <c r="F350" s="4"/>
      <c r="G350" s="33"/>
      <c r="H350" s="131"/>
      <c r="I350" s="131"/>
      <c r="M350" s="3"/>
      <c r="N350" s="3"/>
      <c r="O350" s="3"/>
    </row>
    <row r="351" spans="3:15" s="130" customFormat="1" ht="12.75">
      <c r="C351" s="90"/>
      <c r="D351" s="132"/>
      <c r="E351" s="4" t="str">
        <f>Translations!$B$200</f>
        <v>«Testliner et papier pour cannelure</v>
      </c>
      <c r="F351" s="4"/>
      <c r="G351" s="33"/>
      <c r="H351" s="131"/>
      <c r="I351" s="131"/>
      <c r="M351" s="3"/>
      <c r="N351" s="3"/>
      <c r="O351" s="3"/>
    </row>
    <row r="352" spans="3:15" s="130" customFormat="1" ht="12.75">
      <c r="C352" s="90"/>
      <c r="D352" s="132"/>
      <c r="E352" s="4" t="str">
        <f>Translations!$B$201</f>
        <v>Carton non couché</v>
      </c>
      <c r="F352" s="4"/>
      <c r="G352" s="33"/>
      <c r="H352" s="131"/>
      <c r="I352" s="131"/>
      <c r="M352" s="3"/>
      <c r="N352" s="3"/>
      <c r="O352" s="3"/>
    </row>
    <row r="353" spans="3:15" s="130" customFormat="1" ht="12.75">
      <c r="C353" s="90"/>
      <c r="D353" s="132"/>
      <c r="E353" s="4" t="str">
        <f>Translations!$B$202</f>
        <v>Carton couché</v>
      </c>
      <c r="F353" s="4"/>
      <c r="G353" s="33"/>
      <c r="H353" s="131"/>
      <c r="I353" s="131"/>
      <c r="M353" s="3"/>
      <c r="N353" s="3"/>
      <c r="O353" s="3"/>
    </row>
    <row r="354" spans="3:15" s="130" customFormat="1" ht="12.75">
      <c r="C354" s="90"/>
      <c r="D354" s="132"/>
      <c r="E354" s="4" t="str">
        <f>Translations!$B$203</f>
        <v>Noir de carbone</v>
      </c>
      <c r="F354" s="4"/>
      <c r="G354" s="33"/>
      <c r="H354" s="131"/>
      <c r="I354" s="131"/>
      <c r="M354" s="3"/>
      <c r="N354" s="3"/>
      <c r="O354" s="3"/>
    </row>
    <row r="355" spans="3:15" s="130" customFormat="1" ht="12.75">
      <c r="C355" s="90"/>
      <c r="D355" s="132"/>
      <c r="E355" s="4" t="str">
        <f>Translations!$B$204</f>
        <v>Acide nitrique</v>
      </c>
      <c r="F355" s="4"/>
      <c r="G355" s="33"/>
      <c r="H355" s="131"/>
      <c r="I355" s="131"/>
      <c r="M355" s="3"/>
      <c r="N355" s="3"/>
      <c r="O355" s="3"/>
    </row>
    <row r="356" spans="3:15" s="130" customFormat="1" ht="12.75">
      <c r="C356" s="90"/>
      <c r="D356" s="132"/>
      <c r="E356" s="4" t="str">
        <f>Translations!$B$205</f>
        <v>Acide adipique</v>
      </c>
      <c r="F356" s="4"/>
      <c r="G356" s="33"/>
      <c r="H356" s="131"/>
      <c r="I356" s="131"/>
      <c r="M356" s="3"/>
      <c r="N356" s="3"/>
      <c r="O356" s="3"/>
    </row>
    <row r="357" spans="3:15" s="130" customFormat="1" ht="12.75">
      <c r="C357" s="90"/>
      <c r="D357" s="132"/>
      <c r="E357" s="4" t="str">
        <f>Translations!$B$206</f>
        <v>Ammoniac</v>
      </c>
      <c r="F357" s="4"/>
      <c r="G357" s="33"/>
      <c r="H357" s="131"/>
      <c r="I357" s="131"/>
      <c r="M357" s="3"/>
      <c r="N357" s="3"/>
      <c r="O357" s="3"/>
    </row>
    <row r="358" spans="3:15" s="130" customFormat="1" ht="12.75">
      <c r="C358" s="90"/>
      <c r="D358" s="132"/>
      <c r="E358" s="4" t="str">
        <f>Translations!$B$207</f>
        <v>Vapocraquage</v>
      </c>
      <c r="F358" s="4"/>
      <c r="G358" s="33"/>
      <c r="H358" s="131"/>
      <c r="I358" s="131"/>
      <c r="M358" s="3"/>
      <c r="N358" s="3"/>
      <c r="O358" s="3"/>
    </row>
    <row r="359" spans="3:15" s="130" customFormat="1" ht="12.75">
      <c r="C359" s="90"/>
      <c r="D359" s="132"/>
      <c r="E359" s="4" t="str">
        <f>Translations!$B$208</f>
        <v>Aromatiques</v>
      </c>
      <c r="F359" s="4"/>
      <c r="G359" s="33"/>
      <c r="H359" s="131"/>
      <c r="I359" s="131"/>
      <c r="M359" s="3"/>
      <c r="N359" s="3"/>
      <c r="O359" s="3"/>
    </row>
    <row r="360" spans="3:15" s="130" customFormat="1" ht="12.75">
      <c r="C360" s="90"/>
      <c r="D360" s="132"/>
      <c r="E360" s="4" t="str">
        <f>Translations!$B$209</f>
        <v>Styrène</v>
      </c>
      <c r="F360" s="4"/>
      <c r="G360" s="33"/>
      <c r="H360" s="131"/>
      <c r="I360" s="131"/>
      <c r="M360" s="3"/>
      <c r="N360" s="3"/>
      <c r="O360" s="3"/>
    </row>
    <row r="361" spans="3:15" s="130" customFormat="1" ht="12.75">
      <c r="C361" s="90"/>
      <c r="D361" s="132"/>
      <c r="E361" s="4" t="str">
        <f>Translations!$B$210</f>
        <v>Phénol/acétone</v>
      </c>
      <c r="F361" s="4"/>
      <c r="G361" s="33"/>
      <c r="H361" s="131"/>
      <c r="I361" s="131"/>
      <c r="M361" s="3"/>
      <c r="N361" s="3"/>
      <c r="O361" s="3"/>
    </row>
    <row r="362" spans="3:15" s="130" customFormat="1" ht="12.75">
      <c r="C362" s="90"/>
      <c r="D362" s="132"/>
      <c r="E362" s="4" t="str">
        <f>Translations!$B$211</f>
        <v>Oxyde d'éthylène/éthylène glycols</v>
      </c>
      <c r="F362" s="4"/>
      <c r="G362" s="33"/>
      <c r="H362" s="131"/>
      <c r="I362" s="131"/>
      <c r="M362" s="3"/>
      <c r="N362" s="3"/>
      <c r="O362" s="3"/>
    </row>
    <row r="363" spans="3:15" s="130" customFormat="1" ht="12.75">
      <c r="C363" s="90"/>
      <c r="D363" s="132"/>
      <c r="E363" s="4" t="str">
        <f>Translations!$B$212</f>
        <v>Chlorure de vinyle monomère</v>
      </c>
      <c r="F363" s="4"/>
      <c r="G363" s="33"/>
      <c r="H363" s="131"/>
      <c r="I363" s="131"/>
      <c r="M363" s="3"/>
      <c r="N363" s="3"/>
      <c r="O363" s="3"/>
    </row>
    <row r="364" spans="3:15" s="130" customFormat="1" ht="12.75">
      <c r="C364" s="90"/>
      <c r="D364" s="132"/>
      <c r="E364" s="4" t="str">
        <f>Translations!$B$213</f>
        <v>PVC en suspension (S-PVC)</v>
      </c>
      <c r="F364" s="4"/>
      <c r="G364" s="33"/>
      <c r="H364" s="131"/>
      <c r="I364" s="131"/>
      <c r="M364" s="3"/>
      <c r="N364" s="3"/>
      <c r="O364" s="3"/>
    </row>
    <row r="365" spans="3:15" s="130" customFormat="1" ht="12.75">
      <c r="C365" s="90"/>
      <c r="D365" s="132"/>
      <c r="E365" s="4" t="str">
        <f>Translations!$B$214</f>
        <v>PVC en émulsion (E-PVC)</v>
      </c>
      <c r="F365" s="4"/>
      <c r="G365" s="33"/>
      <c r="H365" s="131"/>
      <c r="I365" s="131"/>
      <c r="M365" s="3"/>
      <c r="N365" s="3"/>
      <c r="O365" s="3"/>
    </row>
    <row r="366" spans="3:15" s="130" customFormat="1" ht="12.75">
      <c r="C366" s="90"/>
      <c r="D366" s="132"/>
      <c r="E366" s="4" t="str">
        <f>Translations!$B$215</f>
        <v>Hydrogène</v>
      </c>
      <c r="F366" s="4"/>
      <c r="G366" s="33"/>
      <c r="H366" s="131"/>
      <c r="I366" s="131"/>
      <c r="M366" s="3"/>
      <c r="N366" s="3"/>
      <c r="O366" s="3"/>
    </row>
    <row r="367" spans="3:15" s="130" customFormat="1" ht="12.75">
      <c r="C367" s="90"/>
      <c r="D367" s="132"/>
      <c r="E367" s="4" t="str">
        <f>Translations!$B$216</f>
        <v>Gaz de synthèse</v>
      </c>
      <c r="F367" s="4"/>
      <c r="G367" s="33"/>
      <c r="H367" s="131"/>
      <c r="I367" s="131"/>
      <c r="M367" s="3"/>
      <c r="N367" s="3"/>
      <c r="O367" s="3"/>
    </row>
    <row r="368" spans="3:15" s="130" customFormat="1" ht="12.75">
      <c r="C368" s="90"/>
      <c r="D368" s="132"/>
      <c r="E368" s="4" t="str">
        <f>Translations!$B$217</f>
        <v>Carbonate de soude</v>
      </c>
      <c r="F368" s="4"/>
      <c r="G368" s="33"/>
      <c r="H368" s="131"/>
      <c r="I368" s="131"/>
      <c r="M368" s="3"/>
      <c r="N368" s="3"/>
      <c r="O368" s="3"/>
    </row>
    <row r="369" spans="3:15" s="130" customFormat="1" ht="12.75">
      <c r="C369" s="90"/>
      <c r="D369" s="132"/>
      <c r="E369" s="34" t="str">
        <f>Translations!$B$218</f>
        <v>Sous-installation avec référentiel de chaleur, CL (risque de fuite de carbone)</v>
      </c>
      <c r="F369" s="4"/>
      <c r="G369" s="33"/>
      <c r="H369" s="131"/>
      <c r="I369" s="131"/>
      <c r="M369" s="3"/>
      <c r="N369" s="3"/>
      <c r="O369" s="3"/>
    </row>
    <row r="370" spans="3:15" s="130" customFormat="1" ht="12.75">
      <c r="C370" s="90"/>
      <c r="D370" s="132"/>
      <c r="E370" s="34" t="str">
        <f>Translations!$B$219</f>
        <v>Sous-installation avec référentiel de chaleur, non-CL (sans risque de fuite de carbone)</v>
      </c>
      <c r="F370" s="4"/>
      <c r="G370" s="33"/>
      <c r="H370" s="131"/>
      <c r="I370" s="131"/>
      <c r="M370" s="3"/>
      <c r="N370" s="3"/>
      <c r="O370" s="3"/>
    </row>
    <row r="371" spans="3:15" s="130" customFormat="1" ht="12.75">
      <c r="C371" s="90"/>
      <c r="D371" s="132"/>
      <c r="E371" s="34" t="str">
        <f>Translations!$B$220</f>
        <v>Sous-installation avec référentiel de combustibles, CL</v>
      </c>
      <c r="F371" s="4"/>
      <c r="G371" s="33"/>
      <c r="H371" s="131"/>
      <c r="I371" s="131"/>
      <c r="M371" s="3"/>
      <c r="N371" s="3"/>
      <c r="O371" s="3"/>
    </row>
    <row r="372" spans="3:15" s="130" customFormat="1" ht="12.75">
      <c r="C372" s="90"/>
      <c r="D372" s="132"/>
      <c r="E372" s="34" t="str">
        <f>Translations!$B$221</f>
        <v>Sous-installation avec référentiel de combustibles, non-CL</v>
      </c>
      <c r="F372" s="4"/>
      <c r="G372" s="33"/>
      <c r="H372" s="131"/>
      <c r="I372" s="131"/>
      <c r="M372" s="3"/>
      <c r="N372" s="3"/>
      <c r="O372" s="3"/>
    </row>
    <row r="373" spans="3:15" s="130" customFormat="1" ht="12.75">
      <c r="C373" s="90"/>
      <c r="D373" s="132"/>
      <c r="E373" s="34" t="str">
        <f>Translations!$B$222</f>
        <v>Sous-installation avec émissions de procédé, CL</v>
      </c>
      <c r="F373" s="4"/>
      <c r="G373" s="33"/>
      <c r="H373" s="131"/>
      <c r="I373" s="131"/>
      <c r="M373" s="3"/>
      <c r="N373" s="3"/>
      <c r="O373" s="3"/>
    </row>
    <row r="374" spans="3:15" s="130" customFormat="1" ht="12.75">
      <c r="C374" s="90"/>
      <c r="D374" s="132"/>
      <c r="E374" s="34" t="str">
        <f>Translations!$B$223</f>
        <v>Sous-installation avec émissions de procédé, non-CL</v>
      </c>
      <c r="F374" s="4"/>
      <c r="G374" s="33"/>
      <c r="H374" s="131"/>
      <c r="I374" s="131"/>
      <c r="M374" s="3"/>
      <c r="N374" s="3"/>
      <c r="O374" s="3"/>
    </row>
    <row r="375" spans="3:15" s="130" customFormat="1" ht="12.75">
      <c r="C375" s="90"/>
      <c r="D375" s="132"/>
      <c r="E375" s="4"/>
      <c r="F375" s="4"/>
      <c r="G375" s="33"/>
      <c r="H375" s="131"/>
      <c r="I375" s="131"/>
      <c r="M375" s="3"/>
      <c r="N375" s="3"/>
      <c r="O375" s="3"/>
    </row>
    <row r="376" spans="1:17" ht="12.75">
      <c r="A376" s="127" t="s">
        <v>56</v>
      </c>
      <c r="B376" s="128" t="s">
        <v>56</v>
      </c>
      <c r="C376" s="128" t="s">
        <v>56</v>
      </c>
      <c r="D376" s="128" t="s">
        <v>56</v>
      </c>
      <c r="E376" s="128" t="s">
        <v>56</v>
      </c>
      <c r="F376" s="128" t="s">
        <v>56</v>
      </c>
      <c r="G376" s="128" t="s">
        <v>56</v>
      </c>
      <c r="H376" s="128" t="s">
        <v>56</v>
      </c>
      <c r="I376" s="128" t="s">
        <v>56</v>
      </c>
      <c r="J376" s="128" t="s">
        <v>56</v>
      </c>
      <c r="K376" s="128" t="s">
        <v>56</v>
      </c>
      <c r="L376" s="128" t="s">
        <v>56</v>
      </c>
      <c r="M376" s="128" t="s">
        <v>56</v>
      </c>
      <c r="N376" s="128" t="s">
        <v>56</v>
      </c>
      <c r="O376" s="128" t="s">
        <v>56</v>
      </c>
      <c r="P376" s="128" t="s">
        <v>56</v>
      </c>
      <c r="Q376" s="128" t="s">
        <v>56</v>
      </c>
    </row>
  </sheetData>
  <sheetProtection sheet="1" objects="1" scenarios="1" formatCells="0" formatColumns="0" formatRows="0"/>
  <printOptions/>
  <pageMargins left="0.787401575" right="0.787401575" top="0.984251969" bottom="0.984251969" header="0.4921259845" footer="0.4921259845"/>
  <pageSetup fitToHeight="4" fitToWidth="1" horizontalDpi="600" verticalDpi="600" orientation="portrait" paperSize="9" scale="22"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 tool for New Entrant applications under the EU ETS</dc:title>
  <dc:subject/>
  <dc:creator>Heller Christian</dc:creator>
  <cp:keywords/>
  <dc:description>Template developed by Umweltbundesamt GmbH (Austria) for DG CLIMA
Authors: Christian Heller / H. Fallmann</dc:description>
  <cp:lastModifiedBy>TERNOY Florie</cp:lastModifiedBy>
  <cp:lastPrinted>2012-06-06T09:36:33Z</cp:lastPrinted>
  <dcterms:created xsi:type="dcterms:W3CDTF">2008-05-26T08:52:55Z</dcterms:created>
  <dcterms:modified xsi:type="dcterms:W3CDTF">2016-07-21T16:59:59Z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